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0400 Allgemein\0402 Persönliche Ordner\Geest, Astrid\Website\PDF´S Webseite\Erdgas\"/>
    </mc:Choice>
  </mc:AlternateContent>
  <bookViews>
    <workbookView xWindow="0" yWindow="0" windowWidth="25200" windowHeight="113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W22" i="7" l="1"/>
  <c r="V22" i="7"/>
  <c r="U22" i="7"/>
  <c r="T22" i="7"/>
  <c r="S22" i="7"/>
  <c r="R22" i="7"/>
  <c r="X22" i="7" l="1"/>
  <c r="W21" i="7"/>
  <c r="V21" i="7"/>
  <c r="U21" i="7"/>
  <c r="T21" i="7"/>
  <c r="S21" i="7"/>
  <c r="R21" i="7"/>
  <c r="X21" i="7" s="1"/>
  <c r="W20" i="7"/>
  <c r="V20" i="7"/>
  <c r="U20" i="7"/>
  <c r="T20" i="7"/>
  <c r="S20" i="7"/>
  <c r="R20" i="7"/>
  <c r="X20" i="7" s="1"/>
  <c r="W19" i="7"/>
  <c r="V19" i="7"/>
  <c r="U19" i="7"/>
  <c r="T19" i="7"/>
  <c r="S19" i="7"/>
  <c r="R19" i="7"/>
  <c r="W18" i="7"/>
  <c r="V18" i="7"/>
  <c r="U18" i="7"/>
  <c r="T18" i="7"/>
  <c r="S18" i="7"/>
  <c r="R18" i="7"/>
  <c r="W16" i="7"/>
  <c r="V16" i="7"/>
  <c r="U16" i="7"/>
  <c r="T16" i="7"/>
  <c r="S16" i="7"/>
  <c r="R16" i="7"/>
  <c r="W15" i="7"/>
  <c r="V15" i="7"/>
  <c r="U15" i="7"/>
  <c r="T15" i="7"/>
  <c r="S15" i="7"/>
  <c r="R15" i="7"/>
  <c r="W14" i="7"/>
  <c r="V14" i="7"/>
  <c r="U14" i="7"/>
  <c r="T14" i="7"/>
  <c r="S14" i="7"/>
  <c r="R14" i="7"/>
  <c r="X14" i="7" s="1"/>
  <c r="W13" i="7"/>
  <c r="V13" i="7"/>
  <c r="U13" i="7"/>
  <c r="T13" i="7"/>
  <c r="S13" i="7"/>
  <c r="R13" i="7"/>
  <c r="W12" i="7"/>
  <c r="V12" i="7"/>
  <c r="U12" i="7"/>
  <c r="T12" i="7"/>
  <c r="S12" i="7"/>
  <c r="R12" i="7"/>
  <c r="X12" i="7" s="1"/>
  <c r="X13" i="7" l="1"/>
  <c r="X19" i="7"/>
  <c r="X18" i="7"/>
  <c r="X16" i="7"/>
  <c r="X15" i="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E53" i="18" l="1"/>
  <c r="G53" i="18"/>
  <c r="M53" i="18"/>
  <c r="J53" i="18"/>
  <c r="F63" i="18"/>
  <c r="I63" i="18"/>
  <c r="K63" i="18"/>
  <c r="N63" i="18"/>
  <c r="D32" i="18"/>
  <c r="L31" i="18" s="1"/>
  <c r="F53" i="18"/>
  <c r="I53" i="18"/>
  <c r="K53" i="18"/>
  <c r="N53" i="18"/>
  <c r="D56" i="18" s="1"/>
  <c r="J55" i="18" s="1"/>
  <c r="E63" i="18"/>
  <c r="G63" i="18"/>
  <c r="J63" i="18"/>
  <c r="M63" i="18"/>
  <c r="N21" i="18"/>
  <c r="J21" i="18"/>
  <c r="F21" i="18"/>
  <c r="M21" i="18"/>
  <c r="I21" i="18"/>
  <c r="L21" i="18"/>
  <c r="H21" i="18"/>
  <c r="K21" i="18"/>
  <c r="G21" i="18"/>
  <c r="H31" i="18"/>
  <c r="G31" i="18"/>
  <c r="J31" i="18"/>
  <c r="M31" i="18"/>
  <c r="H53" i="18"/>
  <c r="H63" i="18"/>
  <c r="D24" i="15"/>
  <c r="C23" i="15"/>
  <c r="D66" i="18" l="1"/>
  <c r="I31" i="18"/>
  <c r="F31" i="18"/>
  <c r="N31" i="18"/>
  <c r="K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7" i="7" s="1"/>
  <c r="H21" i="4"/>
  <c r="V17" i="7" s="1"/>
  <c r="G21" i="4"/>
  <c r="U17" i="7" s="1"/>
  <c r="F21" i="4"/>
  <c r="T17" i="7" s="1"/>
  <c r="E21" i="4"/>
  <c r="S17" i="7" s="1"/>
  <c r="D21" i="4"/>
  <c r="R17" i="7" s="1"/>
  <c r="X17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11" i="8"/>
  <c r="C8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22" i="7" l="1"/>
  <c r="L22" i="7"/>
  <c r="K22" i="7"/>
  <c r="F18" i="7"/>
  <c r="F12" i="7"/>
  <c r="J22" i="7"/>
  <c r="F17" i="7"/>
  <c r="H22" i="7"/>
  <c r="Q22" i="7" s="1"/>
  <c r="F15" i="7"/>
  <c r="F22" i="7"/>
  <c r="N22" i="7"/>
  <c r="F21" i="7"/>
  <c r="F20" i="7"/>
  <c r="F19" i="7"/>
  <c r="I22" i="7"/>
  <c r="F16" i="7"/>
  <c r="F14" i="7"/>
  <c r="F13" i="7"/>
  <c r="F11" i="7"/>
  <c r="P22" i="7"/>
  <c r="O22" i="7"/>
  <c r="O21" i="7"/>
  <c r="N20" i="7"/>
  <c r="M19" i="7"/>
  <c r="L18" i="7"/>
  <c r="K17" i="7"/>
  <c r="J16" i="7"/>
  <c r="I15" i="7"/>
  <c r="P14" i="7"/>
  <c r="H14" i="7"/>
  <c r="O13" i="7"/>
  <c r="N12" i="7"/>
  <c r="I16" i="7"/>
  <c r="O14" i="7"/>
  <c r="N13" i="7"/>
  <c r="J20" i="7"/>
  <c r="P18" i="7"/>
  <c r="H18" i="7"/>
  <c r="N21" i="7"/>
  <c r="M20" i="7"/>
  <c r="L19" i="7"/>
  <c r="K18" i="7"/>
  <c r="J17" i="7"/>
  <c r="P15" i="7"/>
  <c r="H15" i="7"/>
  <c r="M12" i="7"/>
  <c r="L12" i="7"/>
  <c r="N15" i="7"/>
  <c r="M14" i="7"/>
  <c r="O17" i="7"/>
  <c r="H19" i="7"/>
  <c r="L15" i="7"/>
  <c r="K14" i="7"/>
  <c r="I21" i="7"/>
  <c r="H20" i="7"/>
  <c r="O19" i="7"/>
  <c r="M17" i="7"/>
  <c r="L16" i="7"/>
  <c r="K15" i="7"/>
  <c r="J14" i="7"/>
  <c r="I13" i="7"/>
  <c r="H12" i="7"/>
  <c r="H21" i="7"/>
  <c r="N19" i="7"/>
  <c r="H13" i="7"/>
  <c r="M21" i="7"/>
  <c r="L20" i="7"/>
  <c r="K19" i="7"/>
  <c r="J18" i="7"/>
  <c r="I17" i="7"/>
  <c r="P16" i="7"/>
  <c r="H16" i="7"/>
  <c r="Q16" i="7" s="1"/>
  <c r="O15" i="7"/>
  <c r="N14" i="7"/>
  <c r="M13" i="7"/>
  <c r="I19" i="7"/>
  <c r="N16" i="7"/>
  <c r="M15" i="7"/>
  <c r="J21" i="7"/>
  <c r="O18" i="7"/>
  <c r="N17" i="7"/>
  <c r="M16" i="7"/>
  <c r="J13" i="7"/>
  <c r="I12" i="7"/>
  <c r="O20" i="7"/>
  <c r="K16" i="7"/>
  <c r="L21" i="7"/>
  <c r="K20" i="7"/>
  <c r="J19" i="7"/>
  <c r="I18" i="7"/>
  <c r="P17" i="7"/>
  <c r="H17" i="7"/>
  <c r="O16" i="7"/>
  <c r="L13" i="7"/>
  <c r="K12" i="7"/>
  <c r="K21" i="7"/>
  <c r="L14" i="7"/>
  <c r="K13" i="7"/>
  <c r="J12" i="7"/>
  <c r="I20" i="7"/>
  <c r="P19" i="7"/>
  <c r="N18" i="7"/>
  <c r="J15" i="7"/>
  <c r="P13" i="7"/>
  <c r="P20" i="7"/>
  <c r="P12" i="7"/>
  <c r="P21" i="7"/>
  <c r="M18" i="7"/>
  <c r="L17" i="7"/>
  <c r="I14" i="7"/>
  <c r="O12" i="7"/>
  <c r="N11" i="7"/>
  <c r="L11" i="7"/>
  <c r="H11" i="7"/>
  <c r="P11" i="7"/>
  <c r="M11" i="7"/>
  <c r="O11" i="7"/>
  <c r="J11" i="7"/>
  <c r="K11" i="7"/>
  <c r="I11" i="7"/>
  <c r="M8" i="4"/>
  <c r="M7" i="4"/>
  <c r="C5" i="1"/>
  <c r="D6" i="15"/>
  <c r="D6" i="7"/>
  <c r="Q21" i="7" l="1"/>
  <c r="Q20" i="7"/>
  <c r="Q12" i="7"/>
  <c r="Q18" i="7"/>
  <c r="Q14" i="7"/>
  <c r="Q15" i="7"/>
  <c r="Q17" i="7"/>
  <c r="Q19" i="7"/>
  <c r="Q13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<sst xmlns="http://schemas.openxmlformats.org/spreadsheetml/2006/main" count="1370" uniqueCount="676">
  <si>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</si>
  <si>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</si>
  <si>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</si>
  <si>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</si>
  <si>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</si>
  <si>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</si>
  <si>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</si>
  <si>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</si>
  <si>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</si>
  <si>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</si>
  <si>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</si>
  <si>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</si>
  <si>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</si>
  <si>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</si>
  <si>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</si>
  <si>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</si>
  <si>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</si>
  <si>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</si>
  <si>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</si>
  <si>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</si>
  <si>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</si>
  <si>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</si>
  <si>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</si>
  <si>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</si>
  <si>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</si>
  <si>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</si>
  <si>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</si>
  <si>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</si>
  <si>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</si>
  <si>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</si>
  <si>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</si>
  <si>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</si>
  <si>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</si>
  <si>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</si>
  <si>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</si>
  <si>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</si>
  <si>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</si>
  <si>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</si>
  <si>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</si>
  <si>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</si>
  <si>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</si>
  <si>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</si>
  <si>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</si>
  <si>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</si>
  <si>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</si>
  <si>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</si>
  <si>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</si>
  <si>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</si>
  <si>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</si>
  <si>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</si>
  <si>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</si>
  <si>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</si>
  <si>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</si>
  <si>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</si>
  <si>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</si>
  <si>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</si>
  <si>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</si>
  <si>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</si>
  <si>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</si>
  <si>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</si>
  <si>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</si>
  <si>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</si>
  <si>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</si>
  <si>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</si>
  <si>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</si>
  <si>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</si>
  <si>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</si>
  <si>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</si>
  <si>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</si>
  <si>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</si>
  <si>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</si>
  <si>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</si>
  <si>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</si>
  <si>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</si>
  <si>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</si>
  <si>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</si>
  <si>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</si>
  <si>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</si>
  <si>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</si>
  <si>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</si>
  <si>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</si>
  <si>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</si>
  <si>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</si>
  <si>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</si>
  <si>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</si>
  <si>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</si>
  <si>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</si>
  <si>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</si>
  <si>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</si>
  <si>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</si>
  <si>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</si>
  <si>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</si>
  <si>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</si>
  <si>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</si>
  <si>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</si>
  <si>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</si>
  <si>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</si>
  <si>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</si>
  <si>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</si>
  <si>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</si>
  <si>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</si>
  <si>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</si>
  <si>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</si>
  <si>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</si>
  <si>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</si>
  <si>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</si>
  <si>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</si>
  <si>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</si>
  <si>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</si>
  <si>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</si>
  <si>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</si>
  <si>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</si>
  <si>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</si>
  <si>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</si>
  <si>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</si>
  <si>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</si>
  <si>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</si>
  <si>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</si>
  <si>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</si>
  <si>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</si>
  <si>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</si>
  <si>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</si>
  <si>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</si>
  <si>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</si>
  <si>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</si>
  <si>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</si>
  <si>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</si>
  <si>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</si>
  <si>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</si>
  <si>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</si>
  <si>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</si>
  <si>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</si>
  <si>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</si>
  <si>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</si>
  <si>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</si>
  <si>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</si>
  <si>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</si>
  <si>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</si>
  <si>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</si>
  <si>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</si>
  <si>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</si>
  <si>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</si>
  <si>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</si>
  <si>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</si>
  <si>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</si>
  <si>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</si>
  <si>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</si>
  <si>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</si>
  <si>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</si>
  <si>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</si>
  <si>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</si>
  <si>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</si>
  <si>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</si>
  <si>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</si>
  <si>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</si>
  <si>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</si>
  <si>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</si>
  <si>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</si>
  <si>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</si>
  <si>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</si>
  <si>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</si>
  <si>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</si>
  <si>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</si>
  <si>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</si>
  <si>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</si>
  <si>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</si>
  <si>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</si>
  <si>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</si>
  <si>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</si>
  <si>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</si>
  <si>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</si>
  <si>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</si>
  <si>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</si>
  <si>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</si>
  <si>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</si>
  <si>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</si>
  <si>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</si>
  <si>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</si>
  <si>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</si>
  <si>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</si>
  <si>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</si>
  <si>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</si>
  <si>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</si>
  <si>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</si>
  <si>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</si>
  <si>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</si>
  <si>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</si>
  <si>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</si>
  <si>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</si>
  <si>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</si>
  <si>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</si>
  <si>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</si>
  <si>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</si>
  <si>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</si>
  <si>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</si>
  <si>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</si>
  <si>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</si>
  <si>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</si>
  <si>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</si>
  <si>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</si>
  <si>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</si>
  <si>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</si>
  <si>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</si>
  <si>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</si>
  <si>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</si>
  <si>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</si>
  <si>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</si>
  <si>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</si>
  <si>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</si>
  <si>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</si>
  <si>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</si>
  <si>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</si>
  <si>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</si>
  <si>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</si>
  <si>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</si>
  <si>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</si>
  <si>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</si>
  <si>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</si>
  <si>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</si>
  <si>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</si>
  <si>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</si>
  <si>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</si>
  <si>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</si>
  <si>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</si>
  <si>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</si>
  <si>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</si>
  <si>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</si>
  <si>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</si>
  <si>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</si>
  <si>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</si>
  <si>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</si>
  <si>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</si>
  <si>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</si>
  <si>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</si>
  <si>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</si>
  <si>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</si>
  <si>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</si>
  <si>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</si>
  <si>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</si>
  <si>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</si>
  <si>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</si>
  <si>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</si>
  <si>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</si>
  <si>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</si>
  <si>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</si>
  <si>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</si>
  <si>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</si>
  <si>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</si>
  <si>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</si>
  <si>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</si>
  <si>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</si>
  <si>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</si>
  <si>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</si>
  <si>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</si>
  <si>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</si>
  <si>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</si>
  <si>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</si>
  <si>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</si>
  <si>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</si>
  <si>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</si>
  <si>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</si>
  <si>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</si>
  <si>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</si>
  <si>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</si>
  <si>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</si>
  <si>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</si>
  <si>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</si>
  <si>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</si>
  <si>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</si>
  <si>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</si>
  <si>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</si>
  <si>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</si>
  <si>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</si>
  <si>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</si>
  <si>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</si>
  <si>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</si>
  <si>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</si>
  <si>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</si>
  <si>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</si>
  <si>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</si>
  <si>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</si>
  <si>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</si>
  <si>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</si>
  <si>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</si>
  <si>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</si>
  <si>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</si>
  <si>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</si>
  <si>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</si>
  <si>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</si>
  <si>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</si>
  <si>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</si>
  <si>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</si>
  <si>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</si>
  <si>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</si>
  <si>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</si>
  <si>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</si>
  <si>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</si>
  <si>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</si>
  <si>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</si>
  <si>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</si>
  <si>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</si>
  <si>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</si>
  <si>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</si>
  <si>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</si>
  <si>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</si>
  <si>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</si>
  <si>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</si>
  <si>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</si>
  <si>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</si>
  <si>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</si>
  <si>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</si>
  <si>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</si>
  <si>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</si>
  <si>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</si>
  <si>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</si>
  <si>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</si>
  <si>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</si>
  <si>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</si>
  <si>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</si>
  <si>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</si>
  <si>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</si>
  <si>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</si>
  <si>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</si>
  <si>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</si>
  <si>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</si>
  <si>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</si>
  <si>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</si>
  <si>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</si>
  <si>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</si>
  <si>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</si>
  <si>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</si>
  <si>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</si>
  <si>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</si>
  <si>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</si>
  <si>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</si>
  <si>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</si>
  <si>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</si>
  <si>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</si>
  <si>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</si>
  <si>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</si>
  <si>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</si>
  <si>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</si>
  <si>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</si>
  <si>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</si>
  <si>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</si>
  <si>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</si>
  <si>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</si>
  <si>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</si>
  <si>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</si>
  <si>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</si>
  <si>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</si>
  <si>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</si>
  <si>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</si>
  <si>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</si>
  <si>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</si>
  <si>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</si>
  <si>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</si>
  <si>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</si>
  <si>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</si>
  <si>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</si>
  <si>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</si>
  <si>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</si>
  <si>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</si>
  <si>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</si>
  <si>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</si>
  <si>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</si>
  <si>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</si>
  <si>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</si>
  <si>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</si>
  <si>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</si>
  <si>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</si>
  <si>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</si>
  <si>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</si>
  <si>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</si>
  <si>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</si>
  <si>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</si>
  <si>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</si>
  <si>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</si>
  <si>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</si>
  <si>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</si>
  <si>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</si>
  <si>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</si>
  <si>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</si>
  <si>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</si>
  <si>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</si>
  <si>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</si>
  <si>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</si>
  <si>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</si>
  <si>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</si>
  <si>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</si>
  <si>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</si>
  <si>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</si>
  <si>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</si>
  <si>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</si>
  <si>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</si>
  <si>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</si>
  <si>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</si>
  <si>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</si>
  <si>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</si>
  <si>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</si>
  <si>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</si>
  <si>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</si>
  <si>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</si>
  <si>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</si>
  <si>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</si>
  <si>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</si>
  <si>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</si>
  <si>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</si>
  <si>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</si>
  <si>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</si>
  <si>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</si>
  <si>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</si>
  <si>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</si>
  <si>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</si>
  <si>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</si>
  <si>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</si>
  <si>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</si>
  <si>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</si>
  <si>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</si>
  <si>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</si>
  <si>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</si>
  <si>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</si>
  <si>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</si>
  <si>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</si>
  <si>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</si>
  <si>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</si>
  <si>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</si>
  <si>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</si>
  <si>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</si>
  <si>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</si>
  <si>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</si>
  <si>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</si>
  <si>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</si>
  <si>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</si>
  <si>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</si>
  <si>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</si>
  <si>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</si>
  <si>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</si>
  <si>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</si>
  <si>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</si>
  <si>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</si>
  <si>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</si>
  <si>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</si>
  <si>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</si>
  <si>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</si>
  <si>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</si>
  <si>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</si>
  <si>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</si>
  <si>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</si>
  <si>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</si>
  <si>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</si>
  <si>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</si>
  <si>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</si>
  <si>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</si>
  <si>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</si>
  <si>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</si>
  <si>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</si>
  <si>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</si>
  <si>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</si>
  <si>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</si>
  <si>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</si>
  <si>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</si>
  <si>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</si>
  <si>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</si>
  <si>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</si>
  <si>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</si>
  <si>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</si>
  <si>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</si>
  <si>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</si>
  <si>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</si>
  <si>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</si>
  <si>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</si>
  <si>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</si>
  <si>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</si>
  <si>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</si>
  <si>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</si>
  <si>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</si>
  <si>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</si>
  <si>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</si>
  <si>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</si>
  <si>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</si>
  <si>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</si>
  <si>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</si>
  <si>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</si>
  <si>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</si>
  <si>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</si>
  <si>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</si>
  <si>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</si>
  <si>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</si>
  <si>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</si>
  <si>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</si>
  <si>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</si>
  <si>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</si>
  <si>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</si>
  <si>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</si>
  <si>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</si>
  <si>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</si>
  <si>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</si>
  <si>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</si>
  <si>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</si>
  <si>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</si>
  <si>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</si>
  <si>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</si>
  <si>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</si>
  <si>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</si>
  <si>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</si>
  <si>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</si>
  <si>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</si>
  <si>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</si>
  <si>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</si>
  <si>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</si>
  <si>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</si>
  <si>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</si>
  <si>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</si>
  <si>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</si>
  <si>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</si>
  <si>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</si>
  <si>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</si>
  <si>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</si>
  <si>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</si>
  <si>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</si>
  <si>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</si>
  <si>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</si>
  <si>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</si>
  <si>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</si>
  <si>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</si>
  <si>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</si>
  <si>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</si>
  <si>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</si>
  <si>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</si>
  <si>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</si>
  <si>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</si>
  <si>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</si>
  <si>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</si>
  <si>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</si>
  <si>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</si>
  <si>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</si>
  <si>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</si>
  <si>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</si>
  <si>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</si>
  <si>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</si>
  <si>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</si>
  <si>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</si>
  <si>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</si>
  <si>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</si>
  <si>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</si>
  <si>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</si>
  <si>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</si>
  <si>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</si>
  <si>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</si>
  <si>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</si>
  <si>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</si>
  <si>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</si>
  <si>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</si>
  <si>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</si>
  <si>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</si>
  <si>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</si>
  <si>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</si>
  <si>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</si>
  <si>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</si>
  <si>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</si>
  <si>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</si>
  <si>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</si>
  <si>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</si>
  <si>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</si>
  <si>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</si>
  <si>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</si>
  <si>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</si>
  <si>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</si>
  <si>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</si>
  <si>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</si>
  <si>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</si>
  <si>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</si>
  <si>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</si>
  <si>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</si>
  <si>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</si>
  <si>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</si>
  <si>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</si>
  <si>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</si>
  <si>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</si>
  <si>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</si>
  <si>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</si>
  <si>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</si>
  <si>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</si>
  <si>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</si>
  <si>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</si>
  <si>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</si>
  <si>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</si>
  <si>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</si>
  <si>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</si>
  <si>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</si>
  <si>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</si>
  <si>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</si>
  <si>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</si>
  <si>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</si>
  <si>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</si>
  <si>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</si>
  <si>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</si>
  <si>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</si>
  <si>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</si>
  <si>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</si>
  <si>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</si>
  <si>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</si>
  <si>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</si>
  <si>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</si>
  <si>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</si>
  <si>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</si>
  <si>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</si>
  <si>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</si>
  <si>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</si>
  <si>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</si>
  <si>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</si>
  <si>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</si>
  <si>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</si>
  <si>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</si>
  <si>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</si>
  <si>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</si>
  <si>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</si>
  <si>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</si>
  <si>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</si>
  <si>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</si>
  <si>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</si>
  <si>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</si>
  <si>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</si>
  <si>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</si>
  <si>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</si>
  <si>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</si>
  <si>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</si>
  <si>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</si>
  <si>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</si>
  <si>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</si>
  <si>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</si>
  <si>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</si>
  <si>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</si>
  <si>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</si>
  <si>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</si>
  <si>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</si>
  <si>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</si>
  <si>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</si>
  <si>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</si>
  <si>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</si>
  <si>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</si>
  <si>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</si>
  <si>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</si>
  <si>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</si>
  <si>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</si>
  <si>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</si>
  <si>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</si>
  <si>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</si>
  <si>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</si>
  <si>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</si>
  <si>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</si>
  <si>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</si>
  <si>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</si>
  <si>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</si>
  <si>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</si>
  <si>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</si>
  <si>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Schwentinental GmbH</t>
  </si>
  <si>
    <t>9870115000000</t>
  </si>
  <si>
    <t>Seebrooksberg 1</t>
  </si>
  <si>
    <t>D-24222</t>
  </si>
  <si>
    <t>Schwentinental</t>
  </si>
  <si>
    <t>Mike Thiere</t>
  </si>
  <si>
    <t>thiere@eeg-energie.de</t>
  </si>
  <si>
    <t>04193/75 35-19</t>
  </si>
  <si>
    <t>GASPOOLNH7011501</t>
  </si>
  <si>
    <t>Deutscher Wetterdienst</t>
  </si>
  <si>
    <t>Kiel-Holtenau</t>
  </si>
  <si>
    <t>DE_GBD05</t>
  </si>
  <si>
    <t>DE_GBH05</t>
  </si>
  <si>
    <t>DE_GKO05</t>
  </si>
  <si>
    <t>DE_GGA05</t>
  </si>
  <si>
    <t>DE_GHA05</t>
  </si>
  <si>
    <t>DE_GMF05</t>
  </si>
  <si>
    <t>DE_GMK05</t>
  </si>
  <si>
    <t>DE_GPD05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</si>
</sst>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4" applyNumberFormat="0" applyAlignment="0" applyProtection="0"/>
    <xf numFmtId="0" fontId="98" fillId="6" borderId="5" applyNumberFormat="0" applyAlignment="0" applyProtection="0"/>
    <xf numFmtId="0" fontId="99" fillId="6" borderId="4" applyNumberFormat="0" applyAlignment="0" applyProtection="0"/>
    <xf numFmtId="0" fontId="100" fillId="0" borderId="6" applyNumberFormat="0" applyFill="0" applyAlignment="0" applyProtection="0"/>
    <xf numFmtId="0" fontId="101" fillId="7" borderId="7" applyNumberFormat="0" applyAlignment="0" applyProtection="0"/>
    <xf numFmtId="0" fontId="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0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3" fillId="32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181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2" borderId="53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94">
    <cellStyle name="1." xfId="4"/>
    <cellStyle name="20 % - Akzent1" xfId="170" builtinId="30" customBuiltin="1"/>
    <cellStyle name="20 % - Akzent1 2" xfId="5"/>
    <cellStyle name="20 % - Akzent1 2 2" xfId="6"/>
    <cellStyle name="20 % - Akzent1 3" xfId="7"/>
    <cellStyle name="20 % - Akzent2" xfId="174" builtinId="34" customBuiltin="1"/>
    <cellStyle name="20 % - Akzent2 2" xfId="8"/>
    <cellStyle name="20 % - Akzent2 2 2" xfId="9"/>
    <cellStyle name="20 % - Akzent2 3" xfId="10"/>
    <cellStyle name="20 % - Akzent3" xfId="178" builtinId="38" customBuiltin="1"/>
    <cellStyle name="20 % - Akzent3 2" xfId="11"/>
    <cellStyle name="20 % - Akzent3 2 2" xfId="12"/>
    <cellStyle name="20 % - Akzent3 3" xfId="13"/>
    <cellStyle name="20 % - Akzent4" xfId="182" builtinId="42" customBuiltin="1"/>
    <cellStyle name="20 % - Akzent4 2" xfId="14"/>
    <cellStyle name="20 % - Akzent4 2 2" xfId="15"/>
    <cellStyle name="20 % - Akzent4 3" xfId="16"/>
    <cellStyle name="20 % - Akzent5" xfId="186" builtinId="46" customBuiltin="1"/>
    <cellStyle name="20 % - Akzent5 2" xfId="17"/>
    <cellStyle name="20 % - Akzent5 2 2" xfId="18"/>
    <cellStyle name="20 % - Akzent5 3" xfId="19"/>
    <cellStyle name="20 % - Akzent6" xfId="190" builtinId="50" customBuiltin="1"/>
    <cellStyle name="20 % - Akzent6 2" xfId="20"/>
    <cellStyle name="20 % - Akzent6 2 2" xfId="21"/>
    <cellStyle name="20 % - Akzent6 3" xfId="22"/>
    <cellStyle name="40 % - Akzent1" xfId="171" builtinId="31" customBuiltin="1"/>
    <cellStyle name="40 % - Akzent1 2" xfId="23"/>
    <cellStyle name="40 % - Akzent1 2 2" xfId="24"/>
    <cellStyle name="40 % - Akzent1 3" xfId="25"/>
    <cellStyle name="40 % - Akzent2" xfId="175" builtinId="35" customBuiltin="1"/>
    <cellStyle name="40 % - Akzent2 2" xfId="26"/>
    <cellStyle name="40 % - Akzent2 2 2" xfId="27"/>
    <cellStyle name="40 % - Akzent2 3" xfId="28"/>
    <cellStyle name="40 % - Akzent3" xfId="179" builtinId="39" customBuiltin="1"/>
    <cellStyle name="40 % - Akzent3 2" xfId="29"/>
    <cellStyle name="40 % - Akzent3 2 2" xfId="30"/>
    <cellStyle name="40 % - Akzent3 3" xfId="31"/>
    <cellStyle name="40 % - Akzent4" xfId="183" builtinId="43" customBuiltin="1"/>
    <cellStyle name="40 % - Akzent4 2" xfId="32"/>
    <cellStyle name="40 % - Akzent4 2 2" xfId="33"/>
    <cellStyle name="40 % - Akzent4 3" xfId="34"/>
    <cellStyle name="40 % - Akzent5" xfId="187" builtinId="47" customBuiltin="1"/>
    <cellStyle name="40 % - Akzent5 2" xfId="35"/>
    <cellStyle name="40 % - Akzent5 2 2" xfId="36"/>
    <cellStyle name="40 % - Akzent5 3" xfId="37"/>
    <cellStyle name="40 % - Akzent6" xfId="191" builtinId="51" customBuiltin="1"/>
    <cellStyle name="40 % - Akzent6 2" xfId="38"/>
    <cellStyle name="40 % - Akzent6 2 2" xfId="39"/>
    <cellStyle name="40 % - Akzent6 3" xfId="40"/>
    <cellStyle name="60 % - Akzent1" xfId="172" builtinId="32" customBuiltin="1"/>
    <cellStyle name="60 % - Akzent1 2" xfId="41"/>
    <cellStyle name="60 % - Akzent1 2 2" xfId="138"/>
    <cellStyle name="60 % - Akzent2" xfId="176" builtinId="36" customBuiltin="1"/>
    <cellStyle name="60 % - Akzent2 2" xfId="42"/>
    <cellStyle name="60 % - Akzent2 2 2" xfId="140"/>
    <cellStyle name="60 % - Akzent3" xfId="180" builtinId="40" customBuiltin="1"/>
    <cellStyle name="60 % - Akzent3 2" xfId="43"/>
    <cellStyle name="60 % - Akzent3 2 2" xfId="142"/>
    <cellStyle name="60 % - Akzent4" xfId="184" builtinId="44" customBuiltin="1"/>
    <cellStyle name="60 % - Akzent4 2" xfId="44"/>
    <cellStyle name="60 % - Akzent4 2 2" xfId="144"/>
    <cellStyle name="60 % - Akzent5" xfId="188" builtinId="48" customBuiltin="1"/>
    <cellStyle name="60 % - Akzent5 2" xfId="45"/>
    <cellStyle name="60 % - Akzent5 2 2" xfId="146"/>
    <cellStyle name="60 % - Akzent6" xfId="192" builtinId="52" customBuiltin="1"/>
    <cellStyle name="60 % - Akzent6 2" xfId="46"/>
    <cellStyle name="60 % - Akzent6 2 2" xfId="148"/>
    <cellStyle name="Akzent1" xfId="169" builtinId="29" customBuiltin="1"/>
    <cellStyle name="Akzent1 2" xfId="47"/>
    <cellStyle name="Akzent1 2 2" xfId="137"/>
    <cellStyle name="Akzent2" xfId="173" builtinId="33" customBuiltin="1"/>
    <cellStyle name="Akzent2 2" xfId="48"/>
    <cellStyle name="Akzent2 2 2" xfId="139"/>
    <cellStyle name="Akzent3" xfId="177" builtinId="37" customBuiltin="1"/>
    <cellStyle name="Akzent3 2" xfId="49"/>
    <cellStyle name="Akzent3 2 2" xfId="141"/>
    <cellStyle name="Akzent4" xfId="181" builtinId="41" customBuiltin="1"/>
    <cellStyle name="Akzent4 2" xfId="50"/>
    <cellStyle name="Akzent4 2 2" xfId="143"/>
    <cellStyle name="Akzent5" xfId="185" builtinId="45" customBuiltin="1"/>
    <cellStyle name="Akzent5 2" xfId="51"/>
    <cellStyle name="Akzent5 2 2" xfId="145"/>
    <cellStyle name="Akzent6" xfId="189" builtinId="49" customBuiltin="1"/>
    <cellStyle name="Akzent6 2" xfId="52"/>
    <cellStyle name="Akzent6 2 2" xfId="147"/>
    <cellStyle name="Ausgabe" xfId="161" builtinId="21" customBuiltin="1"/>
    <cellStyle name="Ausgabe 2" xfId="53"/>
    <cellStyle name="Ausgabe 2 2" xfId="130"/>
    <cellStyle name="Berechnung" xfId="162" builtinId="22" customBuiltin="1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" xfId="160" builtinId="20" customBuiltin="1"/>
    <cellStyle name="Eingabe 2" xfId="59"/>
    <cellStyle name="Eingabe 2 2" xfId="129"/>
    <cellStyle name="Ergebnis" xfId="168" builtinId="25" customBuiltin="1"/>
    <cellStyle name="Ergebnis 2" xfId="60"/>
    <cellStyle name="Ergebnis 2 2" xfId="136"/>
    <cellStyle name="Erklärender Text" xfId="167" builtinId="53" customBuiltin="1"/>
    <cellStyle name="Erklärender Text 2" xfId="61"/>
    <cellStyle name="Erklärender Text 2 2" xfId="135"/>
    <cellStyle name="Euro" xfId="62"/>
    <cellStyle name="Euro 2" xfId="111"/>
    <cellStyle name="Fest" xfId="63"/>
    <cellStyle name="Gut" xfId="157" builtinId="26" customBuiltin="1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" xfId="159" builtinId="28" customBuiltin="1"/>
    <cellStyle name="Neutral 2" xfId="73"/>
    <cellStyle name="Neutral 2 2" xfId="128"/>
    <cellStyle name="Notiz" xfId="166" builtinId="10" customBuiltin="1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" xfId="158" builtinId="27" customBuiltin="1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" xfId="153" builtinId="16" customBuiltin="1"/>
    <cellStyle name="Überschrift 1 2" xfId="96"/>
    <cellStyle name="Überschrift 1 3" xfId="97"/>
    <cellStyle name="Überschrift 1 3 2" xfId="123"/>
    <cellStyle name="Überschrift 2" xfId="154" builtinId="17" customBuiltin="1"/>
    <cellStyle name="Überschrift 2 2" xfId="98"/>
    <cellStyle name="Überschrift 2 2 2" xfId="122"/>
    <cellStyle name="Überschrift 2 2 3" xfId="116"/>
    <cellStyle name="Überschrift 2 3" xfId="99"/>
    <cellStyle name="Überschrift 3" xfId="155" builtinId="18" customBuiltin="1"/>
    <cellStyle name="Überschrift 3 2" xfId="100"/>
    <cellStyle name="Überschrift 3 2 2" xfId="124"/>
    <cellStyle name="Überschrift 4" xfId="156" builtinId="19" customBuiltin="1"/>
    <cellStyle name="Überschrift 4 2" xfId="101"/>
    <cellStyle name="Überschrift 4 3" xfId="102"/>
    <cellStyle name="Überschrift 4 3 2" xfId="125"/>
    <cellStyle name="Überschrift 5" xfId="103"/>
    <cellStyle name="Überschrift 6" xfId="193"/>
    <cellStyle name="Undefiniert" xfId="104"/>
    <cellStyle name="verborgen" xfId="105"/>
    <cellStyle name="Verknüpfte Zelle" xfId="163" builtinId="24" customBuiltin="1"/>
    <cellStyle name="Verknüpfte Zelle 2" xfId="106"/>
    <cellStyle name="Verknüpfte Zelle 2 2" xfId="132"/>
    <cellStyle name="Whrung" xfId="107"/>
    <cellStyle name="Warnender Text" xfId="165" builtinId="11" customBuiltin="1"/>
    <cellStyle name="Warnender Text 2" xfId="108"/>
    <cellStyle name="Warnender Text 2 2" xfId="134"/>
    <cellStyle name="Zelle überprüfen" xfId="164" builtinId="23" customBuiltin="1"/>
    <cellStyle name="Zelle überprüfen 2" xfId="109"/>
    <cellStyle name="Zelle überprüfen 2 2" xfId="133"/>
  </cellStyles>
  <dxfs count="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J13" sqref="J13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503</v>
      </c>
    </row>
    <row r="12" spans="2:7" s="8" customFormat="1">
      <c r="B12" s="8" t="s">
        <v>504</v>
      </c>
    </row>
    <row r="13" spans="2:7" s="8" customFormat="1">
      <c r="B13" s="8" t="s">
        <v>512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42185</v>
      </c>
      <c r="E29" s="8"/>
      <c r="F29" s="8"/>
      <c r="G29" s="8"/>
      <c r="H29" s="8"/>
    </row>
    <row r="30" spans="2:12">
      <c r="B30" s="21" t="s">
        <v>350</v>
      </c>
      <c r="C30" s="337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507</v>
      </c>
      <c r="D4" s="27">
        <v>42194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508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262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38" t="s">
        <v>658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263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264</v>
      </c>
      <c r="D15" s="339" t="s">
        <v>660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265</v>
      </c>
      <c r="D17" s="41" t="s">
        <v>661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266</v>
      </c>
      <c r="D19" s="41" t="s">
        <v>662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267</v>
      </c>
      <c r="D21" s="43" t="s">
        <v>663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268</v>
      </c>
      <c r="D23" s="41" t="s">
        <v>664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398</v>
      </c>
      <c r="E27" s="39"/>
      <c r="F27" s="11"/>
    </row>
    <row r="28" spans="1:15">
      <c r="B28" s="15"/>
      <c r="C28" s="65" t="s">
        <v>506</v>
      </c>
      <c r="D28" s="47" t="str">
        <f>IF(D27&lt;&gt;C28,VLOOKUP(D27,$C$29:$D$48,2,FALSE),C28)</f>
        <v>Schwentinental</v>
      </c>
      <c r="E28" s="38"/>
      <c r="F28" s="11"/>
      <c r="G28" s="2"/>
    </row>
    <row r="29" spans="1:15">
      <c r="B29" s="15"/>
      <c r="C29" s="22" t="s">
        <v>398</v>
      </c>
      <c r="D29" s="44" t="s">
        <v>661</v>
      </c>
      <c r="E29" s="40"/>
      <c r="F29" s="11"/>
      <c r="G29" s="2"/>
    </row>
    <row r="30" spans="1:15">
      <c r="B30" s="15"/>
      <c r="C30" s="22" t="s">
        <v>399</v>
      </c>
      <c r="D30" s="44"/>
      <c r="E30" s="40"/>
      <c r="F30" s="46"/>
      <c r="G30" s="2"/>
    </row>
    <row r="31" spans="1:15">
      <c r="B31" s="15"/>
      <c r="C31" s="22" t="s">
        <v>424</v>
      </c>
      <c r="D31" s="45"/>
      <c r="E31" s="40"/>
      <c r="F31" s="46"/>
      <c r="G31" s="2"/>
    </row>
    <row r="32" spans="1:15">
      <c r="B32" s="15"/>
      <c r="C32" s="22" t="s">
        <v>425</v>
      </c>
      <c r="D32" s="45"/>
      <c r="E32" s="40"/>
      <c r="F32" s="46"/>
      <c r="G32" s="2"/>
    </row>
    <row r="33" spans="2:7">
      <c r="B33" s="15"/>
      <c r="C33" s="22" t="s">
        <v>426</v>
      </c>
      <c r="D33" s="44"/>
      <c r="E33" s="40"/>
      <c r="F33" s="46"/>
      <c r="G33" s="2"/>
    </row>
    <row r="34" spans="2:7">
      <c r="B34" s="15"/>
      <c r="C34" s="22" t="s">
        <v>427</v>
      </c>
      <c r="D34" s="45"/>
      <c r="E34" s="40"/>
      <c r="F34" s="46"/>
      <c r="G34" s="2"/>
    </row>
    <row r="35" spans="2:7">
      <c r="B35" s="15"/>
      <c r="C35" s="22" t="s">
        <v>428</v>
      </c>
      <c r="D35" s="45"/>
      <c r="E35" s="40"/>
      <c r="F35" s="46"/>
      <c r="G35" s="2"/>
    </row>
    <row r="36" spans="2:7">
      <c r="B36" s="15"/>
      <c r="C36" s="22" t="s">
        <v>429</v>
      </c>
      <c r="D36" s="45"/>
      <c r="E36" s="40"/>
      <c r="F36" s="46"/>
      <c r="G36" s="2"/>
    </row>
    <row r="37" spans="2:7">
      <c r="B37" s="15"/>
      <c r="C37" s="22" t="s">
        <v>430</v>
      </c>
      <c r="D37" s="45"/>
      <c r="E37" s="40"/>
      <c r="F37" s="46"/>
      <c r="G37" s="2"/>
    </row>
    <row r="38" spans="2:7">
      <c r="B38" s="15"/>
      <c r="C38" s="22" t="s">
        <v>435</v>
      </c>
      <c r="D38" s="45"/>
      <c r="E38" s="40"/>
      <c r="F38" s="46"/>
      <c r="G38" s="2"/>
    </row>
    <row r="39" spans="2:7">
      <c r="B39" s="15"/>
      <c r="C39" s="22" t="s">
        <v>436</v>
      </c>
      <c r="D39" s="45"/>
      <c r="E39" s="40"/>
      <c r="F39" s="46"/>
      <c r="G39" s="2"/>
    </row>
    <row r="40" spans="2:7">
      <c r="B40" s="15"/>
      <c r="C40" s="22" t="s">
        <v>437</v>
      </c>
      <c r="D40" s="45"/>
      <c r="E40" s="40"/>
      <c r="F40" s="46"/>
      <c r="G40" s="2"/>
    </row>
    <row r="41" spans="2:7">
      <c r="B41" s="15"/>
      <c r="C41" s="22" t="s">
        <v>438</v>
      </c>
      <c r="D41" s="45"/>
      <c r="E41" s="40"/>
      <c r="F41" s="46"/>
      <c r="G41" s="2"/>
    </row>
    <row r="42" spans="2:7">
      <c r="B42" s="15"/>
      <c r="C42" s="22" t="s">
        <v>439</v>
      </c>
      <c r="D42" s="45"/>
      <c r="E42" s="40"/>
      <c r="F42" s="46"/>
      <c r="G42" s="2"/>
    </row>
    <row r="43" spans="2:7">
      <c r="B43" s="15"/>
      <c r="C43" s="22" t="s">
        <v>440</v>
      </c>
      <c r="D43" s="45"/>
      <c r="E43" s="40"/>
      <c r="F43" s="46"/>
      <c r="G43" s="2"/>
    </row>
    <row r="44" spans="2:7">
      <c r="B44" s="15"/>
      <c r="C44" s="22" t="s">
        <v>441</v>
      </c>
      <c r="D44" s="45"/>
      <c r="E44" s="40"/>
      <c r="F44" s="46"/>
      <c r="G44" s="2"/>
    </row>
    <row r="45" spans="2:7">
      <c r="B45" s="15"/>
      <c r="C45" s="22" t="s">
        <v>442</v>
      </c>
      <c r="D45" s="45"/>
      <c r="E45" s="40"/>
      <c r="F45" s="46"/>
      <c r="G45" s="2"/>
    </row>
    <row r="46" spans="2:7">
      <c r="B46" s="15"/>
      <c r="C46" s="22" t="s">
        <v>443</v>
      </c>
      <c r="D46" s="45"/>
      <c r="E46" s="40"/>
      <c r="F46" s="46"/>
    </row>
    <row r="47" spans="2:7">
      <c r="B47" s="15"/>
      <c r="C47" s="22" t="s">
        <v>444</v>
      </c>
      <c r="D47" s="45"/>
      <c r="E47" s="40"/>
      <c r="F47" s="46"/>
    </row>
    <row r="48" spans="2:7">
      <c r="B48" s="15"/>
      <c r="C48" s="22" t="s">
        <v>445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5" priority="2">
      <formula>IF(CELL("Zeile",D29)&lt;$D$25+CELL("Zeile",$D$29),1,0)</formula>
    </cfRule>
  </conditionalFormatting>
  <conditionalFormatting sqref="D30:D48">
    <cfRule type="expression" dxfId="5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E19" sqref="E1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449</v>
      </c>
      <c r="D5" s="57" t="str">
        <f>Netzbetreiber!$D$9</f>
        <v>Stadtwerke Schwentinental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7" t="str">
        <f>Netzbetreiber!D28</f>
        <v>Schwentinental</v>
      </c>
      <c r="E6" s="15"/>
      <c r="H6" s="67"/>
      <c r="I6" s="67"/>
      <c r="J6" s="67"/>
      <c r="K6" s="67"/>
    </row>
    <row r="7" spans="2:15" ht="15" customHeight="1">
      <c r="B7" s="22"/>
      <c r="C7" s="59" t="s">
        <v>492</v>
      </c>
      <c r="D7" s="60" t="str">
        <f>Netzbetreiber!$D$11</f>
        <v>9870115000000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260</v>
      </c>
      <c r="E11" s="15"/>
      <c r="H11" s="276" t="s">
        <v>257</v>
      </c>
      <c r="I11" s="276" t="s">
        <v>260</v>
      </c>
      <c r="J11" s="276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621</v>
      </c>
      <c r="D13" s="33" t="s">
        <v>622</v>
      </c>
      <c r="E13" s="15"/>
      <c r="H13" s="276" t="s">
        <v>622</v>
      </c>
      <c r="I13" s="276" t="s">
        <v>623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434</v>
      </c>
      <c r="D15" s="42" t="s">
        <v>338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1" t="s">
        <v>665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84</v>
      </c>
      <c r="C18" s="31" t="s">
        <v>371</v>
      </c>
      <c r="D18" s="48" t="s">
        <v>258</v>
      </c>
      <c r="E18" s="15"/>
      <c r="H18" s="274" t="s">
        <v>258</v>
      </c>
      <c r="I18" s="274" t="s">
        <v>135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581</v>
      </c>
      <c r="I19" s="275" t="s">
        <v>493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494</v>
      </c>
      <c r="I20" s="275" t="s">
        <v>495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85</v>
      </c>
      <c r="C22" s="8" t="s">
        <v>619</v>
      </c>
      <c r="D22" s="48" t="s">
        <v>615</v>
      </c>
      <c r="E22" s="15"/>
      <c r="H22" s="272" t="s">
        <v>615</v>
      </c>
      <c r="I22" s="272" t="s">
        <v>616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8" t="s">
        <v>617</v>
      </c>
      <c r="E23" s="15"/>
      <c r="H23" s="272" t="s">
        <v>618</v>
      </c>
      <c r="I23" s="8" t="s">
        <v>614</v>
      </c>
      <c r="J23" s="8"/>
      <c r="K23" s="8"/>
      <c r="L23" s="273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2" t="s">
        <v>617</v>
      </c>
      <c r="I24" s="272" t="s">
        <v>624</v>
      </c>
      <c r="J24" s="8"/>
      <c r="K24" s="8"/>
      <c r="L24" s="275" t="s">
        <v>625</v>
      </c>
      <c r="M24" s="275" t="s">
        <v>627</v>
      </c>
      <c r="N24" s="275" t="s">
        <v>626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373</v>
      </c>
      <c r="C26" s="6" t="s">
        <v>584</v>
      </c>
      <c r="D26" s="42" t="s">
        <v>136</v>
      </c>
      <c r="E26" s="15"/>
      <c r="H26" s="274" t="s">
        <v>134</v>
      </c>
      <c r="I26" s="274" t="s">
        <v>136</v>
      </c>
      <c r="J26" s="272"/>
      <c r="K26" s="272"/>
      <c r="L26" s="273"/>
    </row>
    <row r="27" spans="2:16" ht="15" customHeight="1">
      <c r="B27" s="7"/>
      <c r="C27" s="6" t="s">
        <v>628</v>
      </c>
      <c r="D27" s="42" t="s">
        <v>629</v>
      </c>
      <c r="E27" s="15"/>
      <c r="H27" s="307" t="s">
        <v>629</v>
      </c>
      <c r="I27" s="274" t="s">
        <v>630</v>
      </c>
      <c r="J27" s="274" t="s">
        <v>631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8">
        <v>1</v>
      </c>
      <c r="E28" s="15"/>
      <c r="H28" s="275" t="s">
        <v>632</v>
      </c>
      <c r="I28" s="275" t="s">
        <v>633</v>
      </c>
      <c r="J28" s="275" t="s">
        <v>634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09"/>
      <c r="E29" s="15"/>
      <c r="H29" s="275" t="s">
        <v>635</v>
      </c>
      <c r="I29" s="275" t="s">
        <v>636</v>
      </c>
      <c r="J29" s="275" t="s">
        <v>637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498</v>
      </c>
      <c r="C31" s="6" t="s">
        <v>583</v>
      </c>
      <c r="D31" s="42" t="s">
        <v>136</v>
      </c>
      <c r="E31" s="15"/>
      <c r="H31" s="274" t="s">
        <v>134</v>
      </c>
      <c r="I31" s="274" t="s">
        <v>136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638</v>
      </c>
      <c r="I32" s="275" t="s">
        <v>639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640</v>
      </c>
      <c r="I33" s="272" t="s">
        <v>635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555</v>
      </c>
      <c r="C35" s="24" t="s">
        <v>500</v>
      </c>
      <c r="D35" s="268">
        <v>11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556</v>
      </c>
      <c r="C37" s="5" t="s">
        <v>368</v>
      </c>
      <c r="D37" s="34">
        <v>1500000</v>
      </c>
      <c r="E37" s="15" t="s">
        <v>513</v>
      </c>
      <c r="I37" s="272"/>
      <c r="J37" s="272"/>
      <c r="K37" s="272"/>
      <c r="L37" s="272"/>
      <c r="M37" s="273"/>
    </row>
    <row r="38" spans="2:39" customFormat="1" ht="15" customHeight="1">
      <c r="C38" s="8" t="s">
        <v>496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557</v>
      </c>
      <c r="C40" s="5" t="s">
        <v>369</v>
      </c>
      <c r="D40" s="36">
        <v>500</v>
      </c>
      <c r="E40" s="15" t="s">
        <v>547</v>
      </c>
      <c r="H40" s="67"/>
      <c r="I40" s="67"/>
      <c r="J40" s="67"/>
      <c r="K40" s="67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59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4" t="s">
        <v>661</v>
      </c>
    </row>
    <row r="49" spans="3:4" ht="18" customHeight="1">
      <c r="C49" s="22" t="s">
        <v>593</v>
      </c>
      <c r="D49" s="44"/>
    </row>
    <row r="50" spans="3:4" ht="18" customHeight="1">
      <c r="C50" s="22" t="s">
        <v>594</v>
      </c>
      <c r="D50" s="44"/>
    </row>
    <row r="51" spans="3:4" ht="18" customHeight="1">
      <c r="C51" s="22" t="s">
        <v>595</v>
      </c>
      <c r="D51" s="44"/>
    </row>
    <row r="52" spans="3:4" ht="18" customHeight="1">
      <c r="C52" s="22" t="s">
        <v>596</v>
      </c>
      <c r="D52" s="44"/>
    </row>
    <row r="53" spans="3:4" ht="18" customHeight="1">
      <c r="C53" s="22" t="s">
        <v>597</v>
      </c>
      <c r="D53" s="44"/>
    </row>
    <row r="54" spans="3:4" ht="18" customHeight="1">
      <c r="C54" s="22" t="s">
        <v>598</v>
      </c>
      <c r="D54" s="44"/>
    </row>
    <row r="55" spans="3:4" ht="18" customHeight="1">
      <c r="C55" s="22" t="s">
        <v>599</v>
      </c>
      <c r="D55" s="44"/>
    </row>
    <row r="56" spans="3:4" ht="18" customHeight="1">
      <c r="C56" s="22" t="s">
        <v>600</v>
      </c>
      <c r="D56" s="44"/>
    </row>
    <row r="57" spans="3:4" ht="18" customHeight="1">
      <c r="C57" s="22" t="s">
        <v>601</v>
      </c>
      <c r="D57" s="44"/>
    </row>
    <row r="58" spans="3:4" ht="18" customHeight="1">
      <c r="C58" s="22" t="s">
        <v>602</v>
      </c>
      <c r="D58" s="44"/>
    </row>
    <row r="59" spans="3:4" ht="18" customHeight="1">
      <c r="C59" s="22" t="s">
        <v>603</v>
      </c>
      <c r="D59" s="44"/>
    </row>
    <row r="60" spans="3:4" ht="18" customHeight="1">
      <c r="C60" s="22" t="s">
        <v>604</v>
      </c>
      <c r="D60" s="44"/>
    </row>
    <row r="61" spans="3:4" ht="18" customHeight="1">
      <c r="C61" s="22" t="s">
        <v>605</v>
      </c>
      <c r="D61" s="44"/>
    </row>
    <row r="62" spans="3:4" ht="18" customHeight="1">
      <c r="C62" s="22" t="s">
        <v>606</v>
      </c>
      <c r="D62" s="44"/>
    </row>
  </sheetData>
  <conditionalFormatting sqref="D15">
    <cfRule type="expression" dxfId="53" priority="20">
      <formula>IF($D$11="Gaspool",1,0)</formula>
    </cfRule>
  </conditionalFormatting>
  <conditionalFormatting sqref="D16">
    <cfRule type="expression" dxfId="52" priority="17">
      <formula>IF($D$11="NCG",1,0)</formula>
    </cfRule>
  </conditionalFormatting>
  <conditionalFormatting sqref="D48:D62">
    <cfRule type="expression" dxfId="51" priority="16">
      <formula>IF(CELL("Zeile",D48)&lt;$D$46+CELL("Zeile",$D$48),1,0)</formula>
    </cfRule>
  </conditionalFormatting>
  <conditionalFormatting sqref="D49:D62">
    <cfRule type="expression" dxfId="50" priority="15">
      <formula>IF(CELL(D49)&lt;$D$36+27,1,0)</formula>
    </cfRule>
  </conditionalFormatting>
  <conditionalFormatting sqref="D23">
    <cfRule type="expression" dxfId="49" priority="14">
      <formula>IF($D$22=$H$22,1,0)</formula>
    </cfRule>
  </conditionalFormatting>
  <conditionalFormatting sqref="D31">
    <cfRule type="expression" dxfId="48" priority="3">
      <formula>IF($D$18="synthetisch",1,0)</formula>
    </cfRule>
  </conditionalFormatting>
  <conditionalFormatting sqref="D28">
    <cfRule type="expression" dxfId="47" priority="1">
      <formula>IF(AND($D$27=$I$27,$D$26=$H$26),1,0)</formula>
    </cfRule>
  </conditionalFormatting>
  <conditionalFormatting sqref="D26:D28">
    <cfRule type="expression" dxfId="46" priority="4">
      <formula>IF($D$18="analytisch",1,0)</formula>
    </cfRule>
  </conditionalFormatting>
  <conditionalFormatting sqref="D27">
    <cfRule type="expression" dxfId="45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I11" sqref="I11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0"/>
      <c r="C4" s="55" t="s">
        <v>449</v>
      </c>
      <c r="D4" s="56"/>
      <c r="E4" s="57" t="s">
        <v>491</v>
      </c>
      <c r="F4" s="130"/>
      <c r="M4" s="130"/>
      <c r="N4" s="130"/>
      <c r="O4" s="130"/>
    </row>
    <row r="5" spans="1:56">
      <c r="B5" s="130"/>
      <c r="C5" s="55" t="s">
        <v>448</v>
      </c>
      <c r="D5" s="56"/>
      <c r="E5" s="57" t="str">
        <f>Netzbetreiber!D28</f>
        <v>Schwentinental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492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528</v>
      </c>
      <c r="D9" s="130"/>
      <c r="E9" s="130"/>
      <c r="F9" s="154">
        <f>'SLP-Verfahren'!D46</f>
        <v>1</v>
      </c>
      <c r="H9" s="172" t="s">
        <v>607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591</v>
      </c>
      <c r="D10" s="130"/>
      <c r="E10" s="130"/>
      <c r="F10" s="299">
        <v>1</v>
      </c>
      <c r="G10" s="56"/>
      <c r="H10" s="172" t="s">
        <v>608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609</v>
      </c>
      <c r="D11" s="130"/>
      <c r="E11" s="130"/>
      <c r="F11" s="296" t="str">
        <f>INDEX('SLP-Verfahren'!D48:D62,'SLP-Temp-Gebiet #01'!F10)</f>
        <v>Schwentinental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2" t="s">
        <v>590</v>
      </c>
      <c r="D13" s="342"/>
      <c r="E13" s="342"/>
      <c r="F13" s="183" t="s">
        <v>554</v>
      </c>
      <c r="G13" s="130" t="s">
        <v>552</v>
      </c>
      <c r="H13" s="265" t="s">
        <v>569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3" t="s">
        <v>452</v>
      </c>
      <c r="D14" s="343"/>
      <c r="E14" s="89" t="s">
        <v>453</v>
      </c>
      <c r="F14" s="266" t="s">
        <v>85</v>
      </c>
      <c r="G14" s="267" t="s">
        <v>578</v>
      </c>
      <c r="H14" s="50">
        <v>0</v>
      </c>
      <c r="I14" s="56"/>
      <c r="J14" s="130"/>
      <c r="K14" s="130"/>
      <c r="L14" s="130"/>
      <c r="M14" s="130"/>
      <c r="N14" s="130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0"/>
      <c r="C15" s="343" t="s">
        <v>390</v>
      </c>
      <c r="D15" s="343"/>
      <c r="E15" s="89" t="s">
        <v>453</v>
      </c>
      <c r="F15" s="266" t="s">
        <v>71</v>
      </c>
      <c r="G15" s="267" t="s">
        <v>572</v>
      </c>
      <c r="H15" s="50">
        <v>0</v>
      </c>
      <c r="I15" s="56"/>
      <c r="J15" s="130"/>
      <c r="K15" s="130"/>
      <c r="L15" s="130"/>
      <c r="M15" s="130"/>
      <c r="N15" s="130"/>
      <c r="O15" s="161" t="s">
        <v>666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373</v>
      </c>
      <c r="AH15" s="264" t="s">
        <v>498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523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529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524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531</v>
      </c>
      <c r="D21" s="153" t="s">
        <v>522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509</v>
      </c>
      <c r="T23" s="297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526</v>
      </c>
      <c r="D24" s="188"/>
      <c r="E24" s="340" t="s">
        <v>667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5" t="s">
        <v>527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521</v>
      </c>
      <c r="D25" s="188"/>
      <c r="E25" s="160">
        <v>10046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510</v>
      </c>
      <c r="F26" s="156" t="s">
        <v>510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510</v>
      </c>
      <c r="S26" s="67" t="s">
        <v>511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525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532</v>
      </c>
      <c r="D31" s="186" t="s">
        <v>255</v>
      </c>
      <c r="E31" s="287">
        <f>1-SUMPRODUCT(F29:N29,F31:N31)</f>
        <v>1</v>
      </c>
      <c r="F31" s="287">
        <f>ROUND(F32/$D$32,4)</f>
        <v>0.5</v>
      </c>
      <c r="G31" s="287">
        <f t="shared" ref="G31:N31" si="3">ROUND(G32/$D$32,4)</f>
        <v>0.25</v>
      </c>
      <c r="H31" s="287">
        <f t="shared" si="3"/>
        <v>0.125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539</v>
      </c>
      <c r="D32" s="293">
        <f>SUMPRODUCT(E32:N32,E29:N29)</f>
        <v>1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3"/>
      <c r="C34" s="187" t="s">
        <v>455</v>
      </c>
      <c r="D34" s="153" t="s">
        <v>454</v>
      </c>
      <c r="E34" s="156" t="s">
        <v>518</v>
      </c>
      <c r="F34" s="156" t="s">
        <v>518</v>
      </c>
      <c r="G34" s="156" t="s">
        <v>518</v>
      </c>
      <c r="H34" s="156" t="s">
        <v>518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518</v>
      </c>
      <c r="S34" s="67" t="s">
        <v>519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611</v>
      </c>
      <c r="D35" s="153" t="s">
        <v>612</v>
      </c>
      <c r="E35" s="156" t="s">
        <v>610</v>
      </c>
      <c r="F35" s="156" t="s">
        <v>610</v>
      </c>
      <c r="G35" s="156" t="s">
        <v>610</v>
      </c>
      <c r="H35" s="156" t="s">
        <v>610</v>
      </c>
      <c r="I35" s="156" t="s">
        <v>610</v>
      </c>
      <c r="J35" s="156" t="s">
        <v>610</v>
      </c>
      <c r="K35" s="156" t="s">
        <v>610</v>
      </c>
      <c r="L35" s="156" t="s">
        <v>610</v>
      </c>
      <c r="M35" s="156" t="s">
        <v>610</v>
      </c>
      <c r="N35" s="156" t="s">
        <v>610</v>
      </c>
      <c r="O35" s="185" t="s">
        <v>142</v>
      </c>
      <c r="Q35" s="211"/>
      <c r="R35" s="67" t="s">
        <v>610</v>
      </c>
      <c r="S35" s="67" t="s">
        <v>613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447</v>
      </c>
      <c r="D36" s="119" t="s">
        <v>544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352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365</v>
      </c>
      <c r="K46" s="198"/>
      <c r="L46" s="198"/>
      <c r="M46" s="198"/>
      <c r="N46" s="198"/>
      <c r="O46" s="199"/>
    </row>
    <row r="47" spans="2:28">
      <c r="B47" s="193"/>
      <c r="C47" s="200" t="s">
        <v>351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365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549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524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531</v>
      </c>
      <c r="D55" s="153" t="s">
        <v>522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543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526</v>
      </c>
      <c r="D58" s="188"/>
      <c r="E58" s="156" t="str">
        <f>E24</f>
        <v>Kiel-Holtenau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60">
        <f>E25</f>
        <v>10046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525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11">IF(F64&gt;$F$62,0,1)</f>
        <v>0</v>
      </c>
      <c r="G63" s="178">
        <f t="shared" si="11"/>
        <v>0</v>
      </c>
      <c r="H63" s="178">
        <f t="shared" si="11"/>
        <v>0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532</v>
      </c>
      <c r="D65" s="186" t="s">
        <v>255</v>
      </c>
      <c r="E65" s="287">
        <f>1-SUMPRODUCT(F63:N63,F65:N65)</f>
        <v>1</v>
      </c>
      <c r="F65" s="287">
        <f>ROUND(F66/$D$66,4)</f>
        <v>0.5</v>
      </c>
      <c r="G65" s="287">
        <f t="shared" ref="G65:N65" si="12">ROUND(G66/$D$66,4)</f>
        <v>0.25</v>
      </c>
      <c r="H65" s="287">
        <f t="shared" si="12"/>
        <v>0.125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539</v>
      </c>
      <c r="D66" s="186">
        <f>SUMPRODUCT(E66:N66,E63:N63)</f>
        <v>1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364</v>
      </c>
      <c r="D67" s="153" t="s">
        <v>363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142</v>
      </c>
    </row>
    <row r="68" spans="2:15">
      <c r="B68" s="183"/>
      <c r="C68" s="187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142</v>
      </c>
    </row>
    <row r="69" spans="2:15">
      <c r="B69" s="183"/>
      <c r="C69" s="187" t="s">
        <v>611</v>
      </c>
      <c r="D69" s="153" t="s">
        <v>612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142</v>
      </c>
    </row>
    <row r="70" spans="2:15">
      <c r="B70" s="183"/>
      <c r="C70" s="192" t="s">
        <v>447</v>
      </c>
      <c r="D70" s="119" t="s">
        <v>544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142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4" priority="28">
      <formula>IF(E$20&lt;=$F$18,1,0)</formula>
    </cfRule>
  </conditionalFormatting>
  <conditionalFormatting sqref="E32:N36">
    <cfRule type="expression" dxfId="43" priority="27">
      <formula>IF(E$30&lt;=$F$28,1,0)</formula>
    </cfRule>
  </conditionalFormatting>
  <conditionalFormatting sqref="E26:F26">
    <cfRule type="expression" dxfId="42" priority="26">
      <formula>IF(E$20&lt;=$F$18,1,0)</formula>
    </cfRule>
  </conditionalFormatting>
  <conditionalFormatting sqref="E26:N26">
    <cfRule type="expression" dxfId="41" priority="25">
      <formula>IF(E$20&lt;=$F$18,1,0)</formula>
    </cfRule>
  </conditionalFormatting>
  <conditionalFormatting sqref="E56:N59">
    <cfRule type="expression" dxfId="40" priority="22">
      <formula>IF(E$54&lt;=$F$52,1,0)</formula>
    </cfRule>
  </conditionalFormatting>
  <conditionalFormatting sqref="E60:N60">
    <cfRule type="expression" dxfId="39" priority="21">
      <formula>IF(E$54&lt;=$F$52,1,0)</formula>
    </cfRule>
  </conditionalFormatting>
  <conditionalFormatting sqref="E66:N68">
    <cfRule type="expression" dxfId="38" priority="15">
      <formula>IF(E$64&lt;=$F$62,1,0)</formula>
    </cfRule>
  </conditionalFormatting>
  <conditionalFormatting sqref="E65:N68 E70:N70">
    <cfRule type="expression" dxfId="37" priority="13">
      <formula>IF(E$64&gt;$F$62,1,0)</formula>
    </cfRule>
  </conditionalFormatting>
  <conditionalFormatting sqref="E56:N60">
    <cfRule type="expression" dxfId="36" priority="12">
      <formula>IF(E$54&gt;$F$52,1,0)</formula>
    </cfRule>
  </conditionalFormatting>
  <conditionalFormatting sqref="E21:N26">
    <cfRule type="expression" dxfId="35" priority="11">
      <formula>IF(E$20&gt;$F$18,1,0)</formula>
    </cfRule>
  </conditionalFormatting>
  <conditionalFormatting sqref="E32:N36">
    <cfRule type="expression" dxfId="34" priority="10">
      <formula>IF(E$30&gt;$F$28,1,0)</formula>
    </cfRule>
  </conditionalFormatting>
  <conditionalFormatting sqref="H11 H8:H9">
    <cfRule type="expression" dxfId="33" priority="9">
      <formula>IF($F$9=1,1,0)</formula>
    </cfRule>
  </conditionalFormatting>
  <conditionalFormatting sqref="E55:N55">
    <cfRule type="expression" dxfId="32" priority="8">
      <formula>IF(E$54&gt;$F$52,1,0)</formula>
    </cfRule>
  </conditionalFormatting>
  <conditionalFormatting sqref="E31:N31">
    <cfRule type="expression" dxfId="31" priority="7">
      <formula>IF(E$30&gt;$F$28,1,0)</formula>
    </cfRule>
  </conditionalFormatting>
  <conditionalFormatting sqref="E70:N70">
    <cfRule type="expression" dxfId="30" priority="6">
      <formula>IF(E$64&lt;=$F$62,1,0)</formula>
    </cfRule>
  </conditionalFormatting>
  <conditionalFormatting sqref="H10">
    <cfRule type="expression" dxfId="29" priority="5">
      <formula>IF($F$9=1,1,0)</formula>
    </cfRule>
  </conditionalFormatting>
  <conditionalFormatting sqref="E69:N69">
    <cfRule type="expression" dxfId="28" priority="2">
      <formula>IF(E$64&lt;=$F$62,1,0)</formula>
    </cfRule>
  </conditionalFormatting>
  <conditionalFormatting sqref="E69:N69">
    <cfRule type="expression" dxfId="27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:N36 F26:N26 E56:N60 E22:F22 I22:N22 F52 F62 G24:N24 G70:N70 E32:N33 E69:N69 F34:N34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0"/>
      <c r="C4" s="55" t="s">
        <v>449</v>
      </c>
      <c r="D4" s="56"/>
      <c r="E4" s="57" t="s">
        <v>491</v>
      </c>
      <c r="F4" s="130"/>
      <c r="M4" s="130"/>
      <c r="N4" s="130"/>
      <c r="O4" s="130"/>
    </row>
    <row r="5" spans="1:56">
      <c r="B5" s="130"/>
      <c r="C5" s="55" t="s">
        <v>448</v>
      </c>
      <c r="D5" s="56"/>
      <c r="E5" s="57" t="str">
        <f>Netzbetreiber!D28</f>
        <v>Schwentinental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492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528</v>
      </c>
      <c r="D9" s="130"/>
      <c r="E9" s="130"/>
      <c r="F9" s="154">
        <f>'SLP-Verfahren'!D46</f>
        <v>1</v>
      </c>
      <c r="H9" s="172" t="s">
        <v>607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591</v>
      </c>
      <c r="D10" s="130"/>
      <c r="E10" s="130"/>
      <c r="F10" s="299">
        <v>2</v>
      </c>
      <c r="G10" s="56"/>
      <c r="H10" s="172" t="s">
        <v>608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609</v>
      </c>
      <c r="D11" s="130"/>
      <c r="E11" s="130"/>
      <c r="F11" s="296">
        <f>INDEX('SLP-Verfahren'!D48:D62,'SLP-Temp-Gebiet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2" t="s">
        <v>590</v>
      </c>
      <c r="D13" s="342"/>
      <c r="E13" s="342"/>
      <c r="F13" s="183" t="s">
        <v>554</v>
      </c>
      <c r="G13" s="130" t="s">
        <v>552</v>
      </c>
      <c r="H13" s="265" t="s">
        <v>569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3" t="s">
        <v>452</v>
      </c>
      <c r="D14" s="343"/>
      <c r="E14" s="89" t="s">
        <v>453</v>
      </c>
      <c r="F14" s="266" t="s">
        <v>85</v>
      </c>
      <c r="G14" s="267" t="s">
        <v>578</v>
      </c>
      <c r="H14" s="50">
        <v>0</v>
      </c>
      <c r="I14" s="56"/>
      <c r="J14" s="130"/>
      <c r="K14" s="130"/>
      <c r="L14" s="130"/>
      <c r="M14" s="130"/>
      <c r="N14" s="130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0"/>
      <c r="C15" s="343" t="s">
        <v>390</v>
      </c>
      <c r="D15" s="343"/>
      <c r="E15" s="89" t="s">
        <v>453</v>
      </c>
      <c r="F15" s="266" t="s">
        <v>71</v>
      </c>
      <c r="G15" s="267" t="s">
        <v>572</v>
      </c>
      <c r="H15" s="50">
        <v>0</v>
      </c>
      <c r="I15" s="56"/>
      <c r="J15" s="130"/>
      <c r="K15" s="130"/>
      <c r="L15" s="130"/>
      <c r="M15" s="130"/>
      <c r="N15" s="130"/>
      <c r="O15" s="161" t="s">
        <v>534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373</v>
      </c>
      <c r="AH15" s="264" t="s">
        <v>498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523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529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524</v>
      </c>
      <c r="D20" s="180" t="s">
        <v>520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531</v>
      </c>
      <c r="D21" s="153" t="s">
        <v>522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509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526</v>
      </c>
      <c r="D24" s="188"/>
      <c r="E24" s="156" t="s">
        <v>587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5" t="s">
        <v>527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521</v>
      </c>
      <c r="D25" s="188"/>
      <c r="E25" s="160" t="s">
        <v>366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510</v>
      </c>
      <c r="F26" s="156" t="s">
        <v>510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510</v>
      </c>
      <c r="S26" s="67" t="s">
        <v>511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525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532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3"/>
      <c r="C34" s="187" t="s">
        <v>455</v>
      </c>
      <c r="D34" s="153" t="s">
        <v>454</v>
      </c>
      <c r="E34" s="156" t="s">
        <v>518</v>
      </c>
      <c r="F34" s="156" t="s">
        <v>518</v>
      </c>
      <c r="G34" s="156" t="s">
        <v>518</v>
      </c>
      <c r="H34" s="156" t="s">
        <v>518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518</v>
      </c>
      <c r="S34" s="67" t="s">
        <v>519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611</v>
      </c>
      <c r="D35" s="153" t="s">
        <v>612</v>
      </c>
      <c r="E35" s="156" t="s">
        <v>610</v>
      </c>
      <c r="F35" s="156" t="s">
        <v>610</v>
      </c>
      <c r="G35" s="156" t="s">
        <v>610</v>
      </c>
      <c r="H35" s="156" t="s">
        <v>610</v>
      </c>
      <c r="I35" s="156" t="s">
        <v>610</v>
      </c>
      <c r="J35" s="156" t="s">
        <v>610</v>
      </c>
      <c r="K35" s="156" t="s">
        <v>610</v>
      </c>
      <c r="L35" s="156" t="s">
        <v>610</v>
      </c>
      <c r="M35" s="156" t="s">
        <v>610</v>
      </c>
      <c r="N35" s="156" t="s">
        <v>610</v>
      </c>
      <c r="O35" s="185" t="s">
        <v>142</v>
      </c>
      <c r="Q35" s="211"/>
      <c r="R35" s="67" t="s">
        <v>610</v>
      </c>
      <c r="S35" s="67" t="s">
        <v>613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447</v>
      </c>
      <c r="D36" s="119" t="s">
        <v>544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271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352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365</v>
      </c>
      <c r="K46" s="198"/>
      <c r="L46" s="198"/>
      <c r="M46" s="198"/>
      <c r="N46" s="198"/>
      <c r="O46" s="199"/>
    </row>
    <row r="47" spans="2:28">
      <c r="B47" s="193"/>
      <c r="C47" s="200" t="s">
        <v>351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365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549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524</v>
      </c>
      <c r="D54" s="180" t="s">
        <v>520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531</v>
      </c>
      <c r="D55" s="153" t="s">
        <v>522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543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526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525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532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364</v>
      </c>
      <c r="D67" s="153" t="s">
        <v>363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611</v>
      </c>
      <c r="D69" s="153" t="s">
        <v>612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447</v>
      </c>
      <c r="D70" s="119" t="s">
        <v>544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6" priority="18">
      <formula>IF(E$20&lt;=$F$18,1,0)</formula>
    </cfRule>
  </conditionalFormatting>
  <conditionalFormatting sqref="E32:N36">
    <cfRule type="expression" dxfId="25" priority="17">
      <formula>IF(E$30&lt;=$F$28,1,0)</formula>
    </cfRule>
  </conditionalFormatting>
  <conditionalFormatting sqref="E26:F26">
    <cfRule type="expression" dxfId="24" priority="16">
      <formula>IF(E$20&lt;=$F$18,1,0)</formula>
    </cfRule>
  </conditionalFormatting>
  <conditionalFormatting sqref="E26:N26">
    <cfRule type="expression" dxfId="23" priority="15">
      <formula>IF(E$20&lt;=$F$18,1,0)</formula>
    </cfRule>
  </conditionalFormatting>
  <conditionalFormatting sqref="E56:N59">
    <cfRule type="expression" dxfId="22" priority="14">
      <formula>IF(E$54&lt;=$F$52,1,0)</formula>
    </cfRule>
  </conditionalFormatting>
  <conditionalFormatting sqref="E60:N60">
    <cfRule type="expression" dxfId="21" priority="13">
      <formula>IF(E$54&lt;=$F$52,1,0)</formula>
    </cfRule>
  </conditionalFormatting>
  <conditionalFormatting sqref="E66:N68">
    <cfRule type="expression" dxfId="20" priority="12">
      <formula>IF(E$64&lt;=$F$62,1,0)</formula>
    </cfRule>
  </conditionalFormatting>
  <conditionalFormatting sqref="E65:N68 E70:N70">
    <cfRule type="expression" dxfId="19" priority="11">
      <formula>IF(E$64&gt;$F$62,1,0)</formula>
    </cfRule>
  </conditionalFormatting>
  <conditionalFormatting sqref="E56:N60">
    <cfRule type="expression" dxfId="18" priority="10">
      <formula>IF(E$54&gt;$F$52,1,0)</formula>
    </cfRule>
  </conditionalFormatting>
  <conditionalFormatting sqref="E21:N26">
    <cfRule type="expression" dxfId="17" priority="9">
      <formula>IF(E$20&gt;$F$18,1,0)</formula>
    </cfRule>
  </conditionalFormatting>
  <conditionalFormatting sqref="E32:N36">
    <cfRule type="expression" dxfId="16" priority="8">
      <formula>IF(E$30&gt;$F$28,1,0)</formula>
    </cfRule>
  </conditionalFormatting>
  <conditionalFormatting sqref="H11 H8:H9">
    <cfRule type="expression" dxfId="15" priority="7">
      <formula>IF($F$9=1,1,0)</formula>
    </cfRule>
  </conditionalFormatting>
  <conditionalFormatting sqref="E55:N55">
    <cfRule type="expression" dxfId="14" priority="6">
      <formula>IF(E$54&gt;$F$52,1,0)</formula>
    </cfRule>
  </conditionalFormatting>
  <conditionalFormatting sqref="E31:N31">
    <cfRule type="expression" dxfId="13" priority="5">
      <formula>IF(E$30&gt;$F$28,1,0)</formula>
    </cfRule>
  </conditionalFormatting>
  <conditionalFormatting sqref="E70:N70">
    <cfRule type="expression" dxfId="12" priority="4">
      <formula>IF(E$64&lt;=$F$62,1,0)</formula>
    </cfRule>
  </conditionalFormatting>
  <conditionalFormatting sqref="H10">
    <cfRule type="expression" dxfId="11" priority="3">
      <formula>IF($F$9=1,1,0)</formula>
    </cfRule>
  </conditionalFormatting>
  <conditionalFormatting sqref="E69:N69">
    <cfRule type="expression" dxfId="10" priority="2">
      <formula>IF(E$64&lt;=$F$62,1,0)</formula>
    </cfRule>
  </conditionalFormatting>
  <conditionalFormatting sqref="E69:N69">
    <cfRule type="expression" dxfId="9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34" sqref="H34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367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372</v>
      </c>
      <c r="D5" s="53" t="str">
        <f>Netzbetreiber!$D$9</f>
        <v>Stadtwerke Schwentinental GmbH</v>
      </c>
      <c r="E5" s="130"/>
      <c r="H5" s="88" t="s">
        <v>502</v>
      </c>
      <c r="I5" s="131" t="s">
        <v>505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339</v>
      </c>
      <c r="D6" s="53" t="str">
        <f>Netzbetreiber!$D$28</f>
        <v>Schwentinental</v>
      </c>
      <c r="E6" s="130"/>
      <c r="F6" s="130"/>
      <c r="I6" s="131" t="s">
        <v>515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492</v>
      </c>
      <c r="D7" s="53" t="str">
        <f>Netzbetreiber!$D$11</f>
        <v>9870115000000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42278</v>
      </c>
      <c r="E8" s="130"/>
      <c r="F8" s="130"/>
      <c r="H8" s="128" t="s">
        <v>500</v>
      </c>
      <c r="J8" s="132">
        <f>COUNTA(D12:D100)</f>
        <v>11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499</v>
      </c>
      <c r="D10" s="134" t="s">
        <v>147</v>
      </c>
      <c r="E10" s="277" t="s">
        <v>517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641</v>
      </c>
      <c r="M10" s="150" t="s">
        <v>650</v>
      </c>
      <c r="N10" s="151" t="s">
        <v>651</v>
      </c>
      <c r="O10" s="151" t="s">
        <v>652</v>
      </c>
      <c r="P10" s="152" t="s">
        <v>653</v>
      </c>
      <c r="Q10" s="146" t="s">
        <v>642</v>
      </c>
      <c r="R10" s="136" t="s">
        <v>643</v>
      </c>
      <c r="S10" s="137" t="s">
        <v>644</v>
      </c>
      <c r="T10" s="137" t="s">
        <v>645</v>
      </c>
      <c r="U10" s="137" t="s">
        <v>646</v>
      </c>
      <c r="V10" s="137" t="s">
        <v>647</v>
      </c>
      <c r="W10" s="137" t="s">
        <v>648</v>
      </c>
      <c r="X10" s="138" t="s">
        <v>649</v>
      </c>
      <c r="Y10" s="305" t="s">
        <v>654</v>
      </c>
    </row>
    <row r="11" spans="2:26" ht="15.75" thickBot="1">
      <c r="B11" s="139" t="s">
        <v>501</v>
      </c>
      <c r="C11" s="140" t="s">
        <v>516</v>
      </c>
      <c r="D11" s="304" t="s">
        <v>248</v>
      </c>
      <c r="E11" s="164"/>
      <c r="F11" s="341" t="e">
        <f>VLOOKUP($E11,'BDEW-Standard'!$B$3:$M$158,F$9,0)</f>
        <v>#N/A</v>
      </c>
      <c r="H11" s="167" t="e">
        <f>ROUND(VLOOKUP($E11,'BDEW-Standard'!$B$3:$M$158,H$9,0),7)</f>
        <v>#N/A</v>
      </c>
      <c r="I11" s="167" t="e">
        <f>ROUND(VLOOKUP($E11,'BDEW-Standard'!$B$3:$M$158,I$9,0),7)</f>
        <v>#N/A</v>
      </c>
      <c r="J11" s="167" t="e">
        <f>ROUND(VLOOKUP($E11,'BDEW-Standard'!$B$3:$M$158,J$9,0),7)</f>
        <v>#N/A</v>
      </c>
      <c r="K11" s="167" t="e">
        <f>ROUND(VLOOKUP($E11,'BDEW-Standard'!$B$3:$M$158,K$9,0),7)</f>
        <v>#N/A</v>
      </c>
      <c r="L11" s="214" t="e">
        <f>ROUND(VLOOKUP($E11,'BDEW-Standard'!$B$3:$M$158,L$9,0),1)</f>
        <v>#N/A</v>
      </c>
      <c r="M11" s="167" t="e">
        <f>ROUND(VLOOKUP($E11,'BDEW-Standard'!$B$3:$M$158,M$9,0),7)</f>
        <v>#N/A</v>
      </c>
      <c r="N11" s="167" t="e">
        <f>ROUND(VLOOKUP($E11,'BDEW-Standard'!$B$3:$M$158,N$9,0),7)</f>
        <v>#N/A</v>
      </c>
      <c r="O11" s="167" t="e">
        <f>ROUND(VLOOKUP($E11,'BDEW-Standard'!$B$3:$M$158,O$9,0),7)</f>
        <v>#N/A</v>
      </c>
      <c r="P11" s="167" t="e">
        <f>ROUND(VLOOKUP($E11,'BDEW-Standard'!$B$3:$M$158,P$9,0),7)</f>
        <v>#N/A</v>
      </c>
      <c r="Q11" s="213" t="e">
        <f t="shared" ref="Q11:Q22" si="0">($H11/(1+($I11/($Q$9-$L11))^$J11)+$K11)+MAX($M11*$Q$9+$N11,$O11*$Q$9+$P11)</f>
        <v>#N/A</v>
      </c>
      <c r="R11" s="168" t="e">
        <f>ROUND(VLOOKUP(MID($E11,4,3),'Wochentag F(WT)'!$B$7:$J$22,R$9,0),4)</f>
        <v>#N/A</v>
      </c>
      <c r="S11" s="168" t="e">
        <f>ROUND(VLOOKUP(MID($E11,4,3),'Wochentag F(WT)'!$B$7:$J$22,S$9,0),4)</f>
        <v>#N/A</v>
      </c>
      <c r="T11" s="168" t="e">
        <f>ROUND(VLOOKUP(MID($E11,4,3),'Wochentag F(WT)'!$B$7:$J$22,T$9,0),4)</f>
        <v>#N/A</v>
      </c>
      <c r="U11" s="168" t="e">
        <f>ROUND(VLOOKUP(MID($E11,4,3),'Wochentag F(WT)'!$B$7:$J$22,U$9,0),4)</f>
        <v>#N/A</v>
      </c>
      <c r="V11" s="168" t="e">
        <f>ROUND(VLOOKUP(MID($E11,4,3),'Wochentag F(WT)'!$B$7:$J$22,V$9,0),4)</f>
        <v>#N/A</v>
      </c>
      <c r="W11" s="168" t="e">
        <f>ROUND(VLOOKUP(MID($E11,4,3),'Wochentag F(WT)'!$B$7:$J$22,W$9,0),4)</f>
        <v>#N/A</v>
      </c>
      <c r="X11" s="169" t="e">
        <f t="shared" ref="X11:X22" si="1">7-SUM(R11:W11)</f>
        <v>#N/A</v>
      </c>
      <c r="Y11" s="302">
        <v>365.12299999999999</v>
      </c>
    </row>
    <row r="12" spans="2:26" ht="15.75" thickBot="1">
      <c r="B12" s="141">
        <v>1</v>
      </c>
      <c r="C12" s="142" t="str">
        <f t="shared" ref="C12:C41" si="2">$D$6</f>
        <v>Schwentinental</v>
      </c>
      <c r="D12" s="62" t="s">
        <v>248</v>
      </c>
      <c r="E12" s="166" t="s">
        <v>669</v>
      </c>
      <c r="F12" s="341" t="str">
        <f>VLOOKUP($E12,'BDEW-Standard'!$B$3:$M$158,F$9,0)</f>
        <v>BH5</v>
      </c>
      <c r="H12" s="167">
        <f>ROUND(VLOOKUP($E12,'BDEW-Standard'!$B$3:$M$158,H$9,0),7)</f>
        <v>2.98</v>
      </c>
      <c r="I12" s="167">
        <f>ROUND(VLOOKUP($E12,'BDEW-Standard'!$B$3:$M$158,I$9,0),7)</f>
        <v>-35.799999999999997</v>
      </c>
      <c r="J12" s="167">
        <f>ROUND(VLOOKUP($E12,'BDEW-Standard'!$B$3:$M$158,J$9,0),7)</f>
        <v>5.6340580999999998</v>
      </c>
      <c r="K12" s="167">
        <f>ROUND(VLOOKUP($E12,'BDEW-Standard'!$B$3:$M$158,K$9,0),7)</f>
        <v>0</v>
      </c>
      <c r="L12" s="214">
        <f>ROUND(VLOOKUP($E12,'BDEW-Standard'!$B$3:$M$158,L$9,0),1)</f>
        <v>40</v>
      </c>
      <c r="M12" s="167">
        <f>ROUND(VLOOKUP($E12,'BDEW-Standard'!$B$3:$M$158,M$9,0),7)</f>
        <v>0</v>
      </c>
      <c r="N12" s="167">
        <f>ROUND(VLOOKUP($E12,'BDEW-Standard'!$B$3:$M$158,N$9,0),7)</f>
        <v>0</v>
      </c>
      <c r="O12" s="167">
        <f>ROUND(VLOOKUP($E12,'BDEW-Standard'!$B$3:$M$158,O$9,0),7)</f>
        <v>0</v>
      </c>
      <c r="P12" s="167">
        <f>ROUND(VLOOKUP($E12,'BDEW-Standard'!$B$3:$M$158,P$9,0),7)</f>
        <v>0</v>
      </c>
      <c r="Q12" s="213">
        <f t="shared" si="0"/>
        <v>1.0340893561256006</v>
      </c>
      <c r="R12" s="168">
        <f>ROUND(VLOOKUP(MID($E12,4,3),'Wochentag F(WT)'!$B$7:$J$22,R$9,0),4)</f>
        <v>0.97670000000000001</v>
      </c>
      <c r="S12" s="168">
        <f>ROUND(VLOOKUP(MID($E12,4,3),'Wochentag F(WT)'!$B$7:$J$22,S$9,0),4)</f>
        <v>1.0388999999999999</v>
      </c>
      <c r="T12" s="168">
        <f>ROUND(VLOOKUP(MID($E12,4,3),'Wochentag F(WT)'!$B$7:$J$22,T$9,0),4)</f>
        <v>1.0027999999999999</v>
      </c>
      <c r="U12" s="168">
        <f>ROUND(VLOOKUP(MID($E12,4,3),'Wochentag F(WT)'!$B$7:$J$22,U$9,0),4)</f>
        <v>1.0162</v>
      </c>
      <c r="V12" s="168">
        <f>ROUND(VLOOKUP(MID($E12,4,3),'Wochentag F(WT)'!$B$7:$J$22,V$9,0),4)</f>
        <v>1.0024</v>
      </c>
      <c r="W12" s="168">
        <f>ROUND(VLOOKUP(MID($E12,4,3),'Wochentag F(WT)'!$B$7:$J$22,W$9,0),4)</f>
        <v>1.0043</v>
      </c>
      <c r="X12" s="169">
        <f t="shared" si="1"/>
        <v>0.95870000000000122</v>
      </c>
      <c r="Y12" s="302">
        <v>365.12299999999999</v>
      </c>
      <c r="Z12" s="212"/>
    </row>
    <row r="13" spans="2:26" s="143" customFormat="1" ht="15.75" thickBot="1">
      <c r="B13" s="144">
        <v>2</v>
      </c>
      <c r="C13" s="145" t="str">
        <f t="shared" si="2"/>
        <v>Schwentinental</v>
      </c>
      <c r="D13" s="62" t="s">
        <v>248</v>
      </c>
      <c r="E13" s="166" t="s">
        <v>670</v>
      </c>
      <c r="F13" s="341" t="str">
        <f>VLOOKUP($E13,'BDEW-Standard'!$B$3:$M$158,F$9,0)</f>
        <v>KO5</v>
      </c>
      <c r="H13" s="167">
        <f>ROUND(VLOOKUP($E13,'BDEW-Standard'!$B$3:$M$158,H$9,0),7)</f>
        <v>4.3624833000000001</v>
      </c>
      <c r="I13" s="167">
        <f>ROUND(VLOOKUP($E13,'BDEW-Standard'!$B$3:$M$158,I$9,0),7)</f>
        <v>-38.6634022</v>
      </c>
      <c r="J13" s="167">
        <f>ROUND(VLOOKUP($E13,'BDEW-Standard'!$B$3:$M$158,J$9,0),7)</f>
        <v>7.5974643999999998</v>
      </c>
      <c r="K13" s="167">
        <f>ROUND(VLOOKUP($E13,'BDEW-Standard'!$B$3:$M$158,K$9,0),7)</f>
        <v>8.3263999999999994E-3</v>
      </c>
      <c r="L13" s="214">
        <f>ROUND(VLOOKUP($E13,'BDEW-Standard'!$B$3:$M$158,L$9,0),1)</f>
        <v>40</v>
      </c>
      <c r="M13" s="167">
        <f>ROUND(VLOOKUP($E13,'BDEW-Standard'!$B$3:$M$158,M$9,0),7)</f>
        <v>0</v>
      </c>
      <c r="N13" s="167">
        <f>ROUND(VLOOKUP($E13,'BDEW-Standard'!$B$3:$M$158,N$9,0),7)</f>
        <v>0</v>
      </c>
      <c r="O13" s="167">
        <f>ROUND(VLOOKUP($E13,'BDEW-Standard'!$B$3:$M$158,O$9,0),7)</f>
        <v>0</v>
      </c>
      <c r="P13" s="167">
        <f>ROUND(VLOOKUP($E13,'BDEW-Standard'!$B$3:$M$158,P$9,0),7)</f>
        <v>0</v>
      </c>
      <c r="Q13" s="213">
        <f t="shared" si="0"/>
        <v>0.84588853011795484</v>
      </c>
      <c r="R13" s="168">
        <f>ROUND(VLOOKUP(MID($E13,4,3),'Wochentag F(WT)'!$B$7:$J$22,R$9,0),4)</f>
        <v>1.0354000000000001</v>
      </c>
      <c r="S13" s="168">
        <f>ROUND(VLOOKUP(MID($E13,4,3),'Wochentag F(WT)'!$B$7:$J$22,S$9,0),4)</f>
        <v>1.0523</v>
      </c>
      <c r="T13" s="168">
        <f>ROUND(VLOOKUP(MID($E13,4,3),'Wochentag F(WT)'!$B$7:$J$22,T$9,0),4)</f>
        <v>1.0448999999999999</v>
      </c>
      <c r="U13" s="168">
        <f>ROUND(VLOOKUP(MID($E13,4,3),'Wochentag F(WT)'!$B$7:$J$22,U$9,0),4)</f>
        <v>1.0494000000000001</v>
      </c>
      <c r="V13" s="168">
        <f>ROUND(VLOOKUP(MID($E13,4,3),'Wochentag F(WT)'!$B$7:$J$22,V$9,0),4)</f>
        <v>0.98850000000000005</v>
      </c>
      <c r="W13" s="168">
        <f>ROUND(VLOOKUP(MID($E13,4,3),'Wochentag F(WT)'!$B$7:$J$22,W$9,0),4)</f>
        <v>0.88600000000000001</v>
      </c>
      <c r="X13" s="169">
        <f t="shared" si="1"/>
        <v>0.94349999999999934</v>
      </c>
      <c r="Y13" s="302">
        <v>365.12299999999999</v>
      </c>
      <c r="Z13" s="212"/>
    </row>
    <row r="14" spans="2:26" s="143" customFormat="1" ht="15.75" thickBot="1">
      <c r="B14" s="144">
        <v>3</v>
      </c>
      <c r="C14" s="145" t="str">
        <f t="shared" si="2"/>
        <v>Schwentinental</v>
      </c>
      <c r="D14" s="62" t="s">
        <v>248</v>
      </c>
      <c r="E14" s="166" t="s">
        <v>40</v>
      </c>
      <c r="F14" s="341" t="str">
        <f>VLOOKUP($E14,'BDEW-Standard'!$B$3:$M$158,F$9,0)</f>
        <v>L14</v>
      </c>
      <c r="H14" s="167">
        <f>ROUND(VLOOKUP($E14,'BDEW-Standard'!$B$3:$M$158,H$9,0),7)</f>
        <v>3.1764404000000002</v>
      </c>
      <c r="I14" s="167">
        <f>ROUND(VLOOKUP($E14,'BDEW-Standard'!$B$3:$M$158,I$9,0),7)</f>
        <v>-37.410583199999998</v>
      </c>
      <c r="J14" s="167">
        <f>ROUND(VLOOKUP($E14,'BDEW-Standard'!$B$3:$M$158,J$9,0),7)</f>
        <v>6.1622336000000004</v>
      </c>
      <c r="K14" s="167">
        <f>ROUND(VLOOKUP($E14,'BDEW-Standard'!$B$3:$M$158,K$9,0),7)</f>
        <v>8.4573400000000007E-2</v>
      </c>
      <c r="L14" s="214">
        <f>ROUND(VLOOKUP($E14,'BDEW-Standard'!$B$3:$M$158,L$9,0),1)</f>
        <v>40</v>
      </c>
      <c r="M14" s="167">
        <f>ROUND(VLOOKUP($E14,'BDEW-Standard'!$B$3:$M$158,M$9,0),7)</f>
        <v>0</v>
      </c>
      <c r="N14" s="167">
        <f>ROUND(VLOOKUP($E14,'BDEW-Standard'!$B$3:$M$158,N$9,0),7)</f>
        <v>0</v>
      </c>
      <c r="O14" s="167">
        <f>ROUND(VLOOKUP($E14,'BDEW-Standard'!$B$3:$M$158,O$9,0),7)</f>
        <v>0</v>
      </c>
      <c r="P14" s="167">
        <f>ROUND(VLOOKUP($E14,'BDEW-Standard'!$B$3:$M$158,P$9,0),7)</f>
        <v>0</v>
      </c>
      <c r="Q14" s="213">
        <f t="shared" si="0"/>
        <v>0.96237603288062623</v>
      </c>
      <c r="R14" s="168">
        <f>ROUND(VLOOKUP(MID($E14,4,3),'Wochentag F(WT)'!$B$7:$J$22,R$9,0),4)</f>
        <v>1</v>
      </c>
      <c r="S14" s="168">
        <f>ROUND(VLOOKUP(MID($E14,4,3),'Wochentag F(WT)'!$B$7:$J$22,S$9,0),4)</f>
        <v>1</v>
      </c>
      <c r="T14" s="168">
        <f>ROUND(VLOOKUP(MID($E14,4,3),'Wochentag F(WT)'!$B$7:$J$22,T$9,0),4)</f>
        <v>1</v>
      </c>
      <c r="U14" s="168">
        <f>ROUND(VLOOKUP(MID($E14,4,3),'Wochentag F(WT)'!$B$7:$J$22,U$9,0),4)</f>
        <v>1</v>
      </c>
      <c r="V14" s="168">
        <f>ROUND(VLOOKUP(MID($E14,4,3),'Wochentag F(WT)'!$B$7:$J$22,V$9,0),4)</f>
        <v>1</v>
      </c>
      <c r="W14" s="168">
        <f>ROUND(VLOOKUP(MID($E14,4,3),'Wochentag F(WT)'!$B$7:$J$22,W$9,0),4)</f>
        <v>1</v>
      </c>
      <c r="X14" s="169">
        <f t="shared" si="1"/>
        <v>1</v>
      </c>
      <c r="Y14" s="302">
        <v>365.12299999999999</v>
      </c>
      <c r="Z14" s="212"/>
    </row>
    <row r="15" spans="2:26" s="143" customFormat="1" ht="15.75" thickBot="1">
      <c r="B15" s="144">
        <v>4</v>
      </c>
      <c r="C15" s="145" t="str">
        <f t="shared" si="2"/>
        <v>Schwentinental</v>
      </c>
      <c r="D15" s="62" t="s">
        <v>248</v>
      </c>
      <c r="E15" s="166" t="s">
        <v>671</v>
      </c>
      <c r="F15" s="341" t="str">
        <f>VLOOKUP($E15,'BDEW-Standard'!$B$3:$M$158,F$9,0)</f>
        <v>GA5</v>
      </c>
      <c r="H15" s="167">
        <f>ROUND(VLOOKUP($E15,'BDEW-Standard'!$B$3:$M$158,H$9,0),7)</f>
        <v>3.3295574999999999</v>
      </c>
      <c r="I15" s="167">
        <f>ROUND(VLOOKUP($E15,'BDEW-Standard'!$B$3:$M$158,I$9,0),7)</f>
        <v>-36.014621099999999</v>
      </c>
      <c r="J15" s="167">
        <f>ROUND(VLOOKUP($E15,'BDEW-Standard'!$B$3:$M$158,J$9,0),7)</f>
        <v>8.7767464999999998</v>
      </c>
      <c r="K15" s="167">
        <f>ROUND(VLOOKUP($E15,'BDEW-Standard'!$B$3:$M$158,K$9,0),7)</f>
        <v>0</v>
      </c>
      <c r="L15" s="214">
        <f>ROUND(VLOOKUP($E15,'BDEW-Standard'!$B$3:$M$158,L$9,0),1)</f>
        <v>40</v>
      </c>
      <c r="M15" s="167">
        <f>ROUND(VLOOKUP($E15,'BDEW-Standard'!$B$3:$M$158,M$9,0),7)</f>
        <v>0</v>
      </c>
      <c r="N15" s="167">
        <f>ROUND(VLOOKUP($E15,'BDEW-Standard'!$B$3:$M$158,N$9,0),7)</f>
        <v>0</v>
      </c>
      <c r="O15" s="167">
        <f>ROUND(VLOOKUP($E15,'BDEW-Standard'!$B$3:$M$158,O$9,0),7)</f>
        <v>0</v>
      </c>
      <c r="P15" s="167">
        <f>ROUND(VLOOKUP($E15,'BDEW-Standard'!$B$3:$M$158,P$9,0),7)</f>
        <v>0</v>
      </c>
      <c r="Q15" s="213">
        <f t="shared" si="0"/>
        <v>0.87123951295728519</v>
      </c>
      <c r="R15" s="168">
        <f>ROUND(VLOOKUP(MID($E15,4,3),'Wochentag F(WT)'!$B$7:$J$22,R$9,0),4)</f>
        <v>0.93220000000000003</v>
      </c>
      <c r="S15" s="168">
        <f>ROUND(VLOOKUP(MID($E15,4,3),'Wochentag F(WT)'!$B$7:$J$22,S$9,0),4)</f>
        <v>0.98939999999999995</v>
      </c>
      <c r="T15" s="168">
        <f>ROUND(VLOOKUP(MID($E15,4,3),'Wochentag F(WT)'!$B$7:$J$22,T$9,0),4)</f>
        <v>1.0033000000000001</v>
      </c>
      <c r="U15" s="168">
        <f>ROUND(VLOOKUP(MID($E15,4,3),'Wochentag F(WT)'!$B$7:$J$22,U$9,0),4)</f>
        <v>1.0108999999999999</v>
      </c>
      <c r="V15" s="168">
        <f>ROUND(VLOOKUP(MID($E15,4,3),'Wochentag F(WT)'!$B$7:$J$22,V$9,0),4)</f>
        <v>1.018</v>
      </c>
      <c r="W15" s="168">
        <f>ROUND(VLOOKUP(MID($E15,4,3),'Wochentag F(WT)'!$B$7:$J$22,W$9,0),4)</f>
        <v>1.0356000000000001</v>
      </c>
      <c r="X15" s="169">
        <f t="shared" si="1"/>
        <v>1.0106000000000002</v>
      </c>
      <c r="Y15" s="302">
        <v>365.12299999999999</v>
      </c>
      <c r="Z15" s="212"/>
    </row>
    <row r="16" spans="2:26" s="143" customFormat="1" ht="15.75" thickBot="1">
      <c r="B16" s="144">
        <v>5</v>
      </c>
      <c r="C16" s="145" t="str">
        <f t="shared" si="2"/>
        <v>Schwentinental</v>
      </c>
      <c r="D16" s="62" t="s">
        <v>248</v>
      </c>
      <c r="E16" s="166" t="s">
        <v>672</v>
      </c>
      <c r="F16" s="341" t="str">
        <f>VLOOKUP($E16,'BDEW-Standard'!$B$3:$M$158,F$9,0)</f>
        <v>HA5</v>
      </c>
      <c r="H16" s="167">
        <f>ROUND(VLOOKUP($E16,'BDEW-Standard'!$B$3:$M$158,H$9,0),7)</f>
        <v>4.8252376000000003</v>
      </c>
      <c r="I16" s="167">
        <f>ROUND(VLOOKUP($E16,'BDEW-Standard'!$B$3:$M$158,I$9,0),7)</f>
        <v>-39.280256399999999</v>
      </c>
      <c r="J16" s="167">
        <f>ROUND(VLOOKUP($E16,'BDEW-Standard'!$B$3:$M$158,J$9,0),7)</f>
        <v>8.6240217000000001</v>
      </c>
      <c r="K16" s="167">
        <f>ROUND(VLOOKUP($E16,'BDEW-Standard'!$B$3:$M$158,K$9,0),7)</f>
        <v>9.9944999999999999E-3</v>
      </c>
      <c r="L16" s="214">
        <f>ROUND(VLOOKUP($E16,'BDEW-Standard'!$B$3:$M$158,L$9,0),1)</f>
        <v>40</v>
      </c>
      <c r="M16" s="167">
        <f>ROUND(VLOOKUP($E16,'BDEW-Standard'!$B$3:$M$158,M$9,0),7)</f>
        <v>0</v>
      </c>
      <c r="N16" s="167">
        <f>ROUND(VLOOKUP($E16,'BDEW-Standard'!$B$3:$M$158,N$9,0),7)</f>
        <v>0</v>
      </c>
      <c r="O16" s="167">
        <f>ROUND(VLOOKUP($E16,'BDEW-Standard'!$B$3:$M$158,O$9,0),7)</f>
        <v>0</v>
      </c>
      <c r="P16" s="167">
        <f>ROUND(VLOOKUP($E16,'BDEW-Standard'!$B$3:$M$158,P$9,0),7)</f>
        <v>0</v>
      </c>
      <c r="Q16" s="213">
        <f t="shared" si="0"/>
        <v>0.7135891999263051</v>
      </c>
      <c r="R16" s="168">
        <f>ROUND(VLOOKUP(MID($E16,4,3),'Wochentag F(WT)'!$B$7:$J$22,R$9,0),4)</f>
        <v>1.0358000000000001</v>
      </c>
      <c r="S16" s="168">
        <f>ROUND(VLOOKUP(MID($E16,4,3),'Wochentag F(WT)'!$B$7:$J$22,S$9,0),4)</f>
        <v>1.0232000000000001</v>
      </c>
      <c r="T16" s="168">
        <f>ROUND(VLOOKUP(MID($E16,4,3),'Wochentag F(WT)'!$B$7:$J$22,T$9,0),4)</f>
        <v>1.0251999999999999</v>
      </c>
      <c r="U16" s="168">
        <f>ROUND(VLOOKUP(MID($E16,4,3),'Wochentag F(WT)'!$B$7:$J$22,U$9,0),4)</f>
        <v>1.0295000000000001</v>
      </c>
      <c r="V16" s="168">
        <f>ROUND(VLOOKUP(MID($E16,4,3),'Wochentag F(WT)'!$B$7:$J$22,V$9,0),4)</f>
        <v>1.0253000000000001</v>
      </c>
      <c r="W16" s="168">
        <f>ROUND(VLOOKUP(MID($E16,4,3),'Wochentag F(WT)'!$B$7:$J$22,W$9,0),4)</f>
        <v>0.96750000000000003</v>
      </c>
      <c r="X16" s="169">
        <f t="shared" si="1"/>
        <v>0.89350000000000041</v>
      </c>
      <c r="Y16" s="302">
        <v>365.12299999999999</v>
      </c>
      <c r="Z16" s="212"/>
    </row>
    <row r="17" spans="2:26" s="143" customFormat="1" ht="15.75" thickBot="1">
      <c r="B17" s="144">
        <v>6</v>
      </c>
      <c r="C17" s="145" t="str">
        <f t="shared" si="2"/>
        <v>Schwentinental</v>
      </c>
      <c r="D17" s="62" t="s">
        <v>248</v>
      </c>
      <c r="E17" s="166" t="s">
        <v>673</v>
      </c>
      <c r="F17" s="341" t="str">
        <f>VLOOKUP($E17,'BDEW-Standard'!$B$3:$M$158,F$9,0)</f>
        <v>MF5</v>
      </c>
      <c r="H17" s="167">
        <f>ROUND(VLOOKUP($E17,'BDEW-Standard'!$B$3:$M$158,H$9,0),7)</f>
        <v>2.6564405999999998</v>
      </c>
      <c r="I17" s="167">
        <f>ROUND(VLOOKUP($E17,'BDEW-Standard'!$B$3:$M$158,I$9,0),7)</f>
        <v>-35.2516927</v>
      </c>
      <c r="J17" s="167">
        <f>ROUND(VLOOKUP($E17,'BDEW-Standard'!$B$3:$M$158,J$9,0),7)</f>
        <v>6.5182659000000003</v>
      </c>
      <c r="K17" s="167">
        <f>ROUND(VLOOKUP($E17,'BDEW-Standard'!$B$3:$M$158,K$9,0),7)</f>
        <v>8.1205899999999998E-2</v>
      </c>
      <c r="L17" s="214">
        <f>ROUND(VLOOKUP($E17,'BDEW-Standard'!$B$3:$M$158,L$9,0),1)</f>
        <v>40</v>
      </c>
      <c r="M17" s="167">
        <f>ROUND(VLOOKUP($E17,'BDEW-Standard'!$B$3:$M$158,M$9,0),7)</f>
        <v>0</v>
      </c>
      <c r="N17" s="167">
        <f>ROUND(VLOOKUP($E17,'BDEW-Standard'!$B$3:$M$158,N$9,0),7)</f>
        <v>0</v>
      </c>
      <c r="O17" s="167">
        <f>ROUND(VLOOKUP($E17,'BDEW-Standard'!$B$3:$M$158,O$9,0),7)</f>
        <v>0</v>
      </c>
      <c r="P17" s="167">
        <f>ROUND(VLOOKUP($E17,'BDEW-Standard'!$B$3:$M$158,P$9,0),7)</f>
        <v>0</v>
      </c>
      <c r="Q17" s="213">
        <f t="shared" si="0"/>
        <v>1.0038516847509584</v>
      </c>
      <c r="R17" s="168">
        <f>ROUND(VLOOKUP(MID($E17,4,3),'Wochentag F(WT)'!$B$7:$J$22,R$9,0),4)</f>
        <v>1.0354000000000001</v>
      </c>
      <c r="S17" s="168">
        <f>ROUND(VLOOKUP(MID($E17,4,3),'Wochentag F(WT)'!$B$7:$J$22,S$9,0),4)</f>
        <v>1.0523</v>
      </c>
      <c r="T17" s="168">
        <f>ROUND(VLOOKUP(MID($E17,4,3),'Wochentag F(WT)'!$B$7:$J$22,T$9,0),4)</f>
        <v>1.0448999999999999</v>
      </c>
      <c r="U17" s="168">
        <f>ROUND(VLOOKUP(MID($E17,4,3),'Wochentag F(WT)'!$B$7:$J$22,U$9,0),4)</f>
        <v>1.0494000000000001</v>
      </c>
      <c r="V17" s="168">
        <f>ROUND(VLOOKUP(MID($E17,4,3),'Wochentag F(WT)'!$B$7:$J$22,V$9,0),4)</f>
        <v>0.98850000000000005</v>
      </c>
      <c r="W17" s="168">
        <f>ROUND(VLOOKUP(MID($E17,4,3),'Wochentag F(WT)'!$B$7:$J$22,W$9,0),4)</f>
        <v>0.88600000000000001</v>
      </c>
      <c r="X17" s="169">
        <f t="shared" si="1"/>
        <v>0.94349999999999934</v>
      </c>
      <c r="Y17" s="302">
        <v>365.12299999999999</v>
      </c>
      <c r="Z17" s="212"/>
    </row>
    <row r="18" spans="2:26" s="143" customFormat="1" ht="15.75" thickBot="1">
      <c r="B18" s="144">
        <v>7</v>
      </c>
      <c r="C18" s="145" t="str">
        <f t="shared" si="2"/>
        <v>Schwentinental</v>
      </c>
      <c r="D18" s="62" t="s">
        <v>248</v>
      </c>
      <c r="E18" s="166" t="s">
        <v>4</v>
      </c>
      <c r="F18" s="341" t="str">
        <f>VLOOKUP($E18,'BDEW-Standard'!$B$3:$M$158,F$9,0)</f>
        <v>HK3</v>
      </c>
      <c r="H18" s="167">
        <f>ROUND(VLOOKUP($E18,'BDEW-Standard'!$B$3:$M$158,H$9,0),7)</f>
        <v>0.40409319999999999</v>
      </c>
      <c r="I18" s="167">
        <f>ROUND(VLOOKUP($E18,'BDEW-Standard'!$B$3:$M$158,I$9,0),7)</f>
        <v>-24.439296800000001</v>
      </c>
      <c r="J18" s="167">
        <f>ROUND(VLOOKUP($E18,'BDEW-Standard'!$B$3:$M$158,J$9,0),7)</f>
        <v>6.5718174999999999</v>
      </c>
      <c r="K18" s="167">
        <f>ROUND(VLOOKUP($E18,'BDEW-Standard'!$B$3:$M$158,K$9,0),7)</f>
        <v>0.71077100000000004</v>
      </c>
      <c r="L18" s="214">
        <f>ROUND(VLOOKUP($E18,'BDEW-Standard'!$B$3:$M$158,L$9,0),1)</f>
        <v>40</v>
      </c>
      <c r="M18" s="167">
        <f>ROUND(VLOOKUP($E18,'BDEW-Standard'!$B$3:$M$158,M$9,0),7)</f>
        <v>0</v>
      </c>
      <c r="N18" s="167">
        <f>ROUND(VLOOKUP($E18,'BDEW-Standard'!$B$3:$M$158,N$9,0),7)</f>
        <v>0</v>
      </c>
      <c r="O18" s="167">
        <f>ROUND(VLOOKUP($E18,'BDEW-Standard'!$B$3:$M$158,O$9,0),7)</f>
        <v>0</v>
      </c>
      <c r="P18" s="167">
        <f>ROUND(VLOOKUP($E18,'BDEW-Standard'!$B$3:$M$158,P$9,0),7)</f>
        <v>0</v>
      </c>
      <c r="Q18" s="213">
        <f t="shared" si="0"/>
        <v>1.0561214000512988</v>
      </c>
      <c r="R18" s="168">
        <f>ROUND(VLOOKUP(MID($E18,4,3),'Wochentag F(WT)'!$B$7:$J$22,R$9,0),4)</f>
        <v>1</v>
      </c>
      <c r="S18" s="168">
        <f>ROUND(VLOOKUP(MID($E18,4,3),'Wochentag F(WT)'!$B$7:$J$22,S$9,0),4)</f>
        <v>1</v>
      </c>
      <c r="T18" s="168">
        <f>ROUND(VLOOKUP(MID($E18,4,3),'Wochentag F(WT)'!$B$7:$J$22,T$9,0),4)</f>
        <v>1</v>
      </c>
      <c r="U18" s="168">
        <f>ROUND(VLOOKUP(MID($E18,4,3),'Wochentag F(WT)'!$B$7:$J$22,U$9,0),4)</f>
        <v>1</v>
      </c>
      <c r="V18" s="168">
        <f>ROUND(VLOOKUP(MID($E18,4,3),'Wochentag F(WT)'!$B$7:$J$22,V$9,0),4)</f>
        <v>1</v>
      </c>
      <c r="W18" s="168">
        <f>ROUND(VLOOKUP(MID($E18,4,3),'Wochentag F(WT)'!$B$7:$J$22,W$9,0),4)</f>
        <v>1</v>
      </c>
      <c r="X18" s="169">
        <f t="shared" si="1"/>
        <v>1</v>
      </c>
      <c r="Y18" s="302">
        <v>365.12299999999999</v>
      </c>
      <c r="Z18" s="212"/>
    </row>
    <row r="19" spans="2:26" s="143" customFormat="1" ht="15.75" thickBot="1">
      <c r="B19" s="144">
        <v>8</v>
      </c>
      <c r="C19" s="145" t="str">
        <f t="shared" si="2"/>
        <v>Schwentinental</v>
      </c>
      <c r="D19" s="62" t="s">
        <v>248</v>
      </c>
      <c r="E19" s="166" t="s">
        <v>674</v>
      </c>
      <c r="F19" s="341" t="str">
        <f>VLOOKUP($E19,'BDEW-Standard'!$B$3:$M$158,F$9,0)</f>
        <v>MK5</v>
      </c>
      <c r="H19" s="167">
        <f>ROUND(VLOOKUP($E19,'BDEW-Standard'!$B$3:$M$158,H$9,0),7)</f>
        <v>3.5862354999999999</v>
      </c>
      <c r="I19" s="167">
        <f>ROUND(VLOOKUP($E19,'BDEW-Standard'!$B$3:$M$158,I$9,0),7)</f>
        <v>-37.080299400000001</v>
      </c>
      <c r="J19" s="167">
        <f>ROUND(VLOOKUP($E19,'BDEW-Standard'!$B$3:$M$158,J$9,0),7)</f>
        <v>8.2420571999999996</v>
      </c>
      <c r="K19" s="167">
        <f>ROUND(VLOOKUP($E19,'BDEW-Standard'!$B$3:$M$158,K$9,0),7)</f>
        <v>1.4600800000000001E-2</v>
      </c>
      <c r="L19" s="214">
        <f>ROUND(VLOOKUP($E19,'BDEW-Standard'!$B$3:$M$158,L$9,0),1)</f>
        <v>40</v>
      </c>
      <c r="M19" s="167">
        <f>ROUND(VLOOKUP($E19,'BDEW-Standard'!$B$3:$M$158,M$9,0),7)</f>
        <v>0</v>
      </c>
      <c r="N19" s="167">
        <f>ROUND(VLOOKUP($E19,'BDEW-Standard'!$B$3:$M$158,N$9,0),7)</f>
        <v>0</v>
      </c>
      <c r="O19" s="167">
        <f>ROUND(VLOOKUP($E19,'BDEW-Standard'!$B$3:$M$158,O$9,0),7)</f>
        <v>0</v>
      </c>
      <c r="P19" s="167">
        <f>ROUND(VLOOKUP($E19,'BDEW-Standard'!$B$3:$M$158,P$9,0),7)</f>
        <v>0</v>
      </c>
      <c r="Q19" s="213">
        <f t="shared" si="0"/>
        <v>0.83553215880324316</v>
      </c>
      <c r="R19" s="168">
        <f>ROUND(VLOOKUP(MID($E19,4,3),'Wochentag F(WT)'!$B$7:$J$22,R$9,0),4)</f>
        <v>1.0699000000000001</v>
      </c>
      <c r="S19" s="168">
        <f>ROUND(VLOOKUP(MID($E19,4,3),'Wochentag F(WT)'!$B$7:$J$22,S$9,0),4)</f>
        <v>1.0365</v>
      </c>
      <c r="T19" s="168">
        <f>ROUND(VLOOKUP(MID($E19,4,3),'Wochentag F(WT)'!$B$7:$J$22,T$9,0),4)</f>
        <v>0.99329999999999996</v>
      </c>
      <c r="U19" s="168">
        <f>ROUND(VLOOKUP(MID($E19,4,3),'Wochentag F(WT)'!$B$7:$J$22,U$9,0),4)</f>
        <v>0.99480000000000002</v>
      </c>
      <c r="V19" s="168">
        <f>ROUND(VLOOKUP(MID($E19,4,3),'Wochentag F(WT)'!$B$7:$J$22,V$9,0),4)</f>
        <v>1.0659000000000001</v>
      </c>
      <c r="W19" s="168">
        <f>ROUND(VLOOKUP(MID($E19,4,3),'Wochentag F(WT)'!$B$7:$J$22,W$9,0),4)</f>
        <v>0.93620000000000003</v>
      </c>
      <c r="X19" s="169">
        <f t="shared" si="1"/>
        <v>0.90339999999999954</v>
      </c>
      <c r="Y19" s="302">
        <v>365.12299999999999</v>
      </c>
      <c r="Z19" s="212"/>
    </row>
    <row r="20" spans="2:26" s="143" customFormat="1" ht="15.75" thickBot="1">
      <c r="B20" s="144">
        <v>9</v>
      </c>
      <c r="C20" s="145" t="str">
        <f t="shared" si="2"/>
        <v>Schwentinental</v>
      </c>
      <c r="D20" s="62" t="s">
        <v>248</v>
      </c>
      <c r="E20" s="166" t="s">
        <v>48</v>
      </c>
      <c r="F20" s="341" t="str">
        <f>VLOOKUP($E20,'BDEW-Standard'!$B$3:$M$158,F$9,0)</f>
        <v>L24</v>
      </c>
      <c r="H20" s="167">
        <f>ROUND(VLOOKUP($E20,'BDEW-Standard'!$B$3:$M$158,H$9,0),7)</f>
        <v>2.5078170000000002</v>
      </c>
      <c r="I20" s="167">
        <f>ROUND(VLOOKUP($E20,'BDEW-Standard'!$B$3:$M$158,I$9,0),7)</f>
        <v>-35.036736300000001</v>
      </c>
      <c r="J20" s="167">
        <f>ROUND(VLOOKUP($E20,'BDEW-Standard'!$B$3:$M$158,J$9,0),7)</f>
        <v>6.2430158999999996</v>
      </c>
      <c r="K20" s="167">
        <f>ROUND(VLOOKUP($E20,'BDEW-Standard'!$B$3:$M$158,K$9,0),7)</f>
        <v>0.1141781</v>
      </c>
      <c r="L20" s="214">
        <f>ROUND(VLOOKUP($E20,'BDEW-Standard'!$B$3:$M$158,L$9,0),1)</f>
        <v>40</v>
      </c>
      <c r="M20" s="167">
        <f>ROUND(VLOOKUP($E20,'BDEW-Standard'!$B$3:$M$158,M$9,0),7)</f>
        <v>0</v>
      </c>
      <c r="N20" s="167">
        <f>ROUND(VLOOKUP($E20,'BDEW-Standard'!$B$3:$M$158,N$9,0),7)</f>
        <v>0</v>
      </c>
      <c r="O20" s="167">
        <f>ROUND(VLOOKUP($E20,'BDEW-Standard'!$B$3:$M$158,O$9,0),7)</f>
        <v>0</v>
      </c>
      <c r="P20" s="167">
        <f>ROUND(VLOOKUP($E20,'BDEW-Standard'!$B$3:$M$158,P$9,0),7)</f>
        <v>0</v>
      </c>
      <c r="Q20" s="213">
        <f t="shared" si="0"/>
        <v>1.0224102326442526</v>
      </c>
      <c r="R20" s="168">
        <f>ROUND(VLOOKUP(MID($E20,4,3),'Wochentag F(WT)'!$B$7:$J$22,R$9,0),4)</f>
        <v>1</v>
      </c>
      <c r="S20" s="168">
        <f>ROUND(VLOOKUP(MID($E20,4,3),'Wochentag F(WT)'!$B$7:$J$22,S$9,0),4)</f>
        <v>1</v>
      </c>
      <c r="T20" s="168">
        <f>ROUND(VLOOKUP(MID($E20,4,3),'Wochentag F(WT)'!$B$7:$J$22,T$9,0),4)</f>
        <v>1</v>
      </c>
      <c r="U20" s="168">
        <f>ROUND(VLOOKUP(MID($E20,4,3),'Wochentag F(WT)'!$B$7:$J$22,U$9,0),4)</f>
        <v>1</v>
      </c>
      <c r="V20" s="168">
        <f>ROUND(VLOOKUP(MID($E20,4,3),'Wochentag F(WT)'!$B$7:$J$22,V$9,0),4)</f>
        <v>1</v>
      </c>
      <c r="W20" s="168">
        <f>ROUND(VLOOKUP(MID($E20,4,3),'Wochentag F(WT)'!$B$7:$J$22,W$9,0),4)</f>
        <v>1</v>
      </c>
      <c r="X20" s="169">
        <f t="shared" si="1"/>
        <v>1</v>
      </c>
      <c r="Y20" s="302">
        <v>365.12299999999999</v>
      </c>
      <c r="Z20" s="212"/>
    </row>
    <row r="21" spans="2:26" s="143" customFormat="1" ht="15.75" thickBot="1">
      <c r="B21" s="144">
        <v>10</v>
      </c>
      <c r="C21" s="145" t="str">
        <f t="shared" si="2"/>
        <v>Schwentinental</v>
      </c>
      <c r="D21" s="62" t="s">
        <v>248</v>
      </c>
      <c r="E21" s="166" t="s">
        <v>675</v>
      </c>
      <c r="F21" s="341" t="str">
        <f>VLOOKUP($E21,'BDEW-Standard'!$B$3:$M$158,F$9,0)</f>
        <v>PD5</v>
      </c>
      <c r="H21" s="167">
        <f>ROUND(VLOOKUP($E21,'BDEW-Standard'!$B$3:$M$158,H$9,0),7)</f>
        <v>4.7462814</v>
      </c>
      <c r="I21" s="167">
        <f>ROUND(VLOOKUP($E21,'BDEW-Standard'!$B$3:$M$158,I$9,0),7)</f>
        <v>-38.750429400000002</v>
      </c>
      <c r="J21" s="167">
        <f>ROUND(VLOOKUP($E21,'BDEW-Standard'!$B$3:$M$158,J$9,0),7)</f>
        <v>10.275333399999999</v>
      </c>
      <c r="K21" s="167">
        <f>ROUND(VLOOKUP($E21,'BDEW-Standard'!$B$3:$M$158,K$9,0),7)</f>
        <v>0</v>
      </c>
      <c r="L21" s="214">
        <f>ROUND(VLOOKUP($E21,'BDEW-Standard'!$B$3:$M$158,L$9,0),1)</f>
        <v>40</v>
      </c>
      <c r="M21" s="167">
        <f>ROUND(VLOOKUP($E21,'BDEW-Standard'!$B$3:$M$158,M$9,0),7)</f>
        <v>0</v>
      </c>
      <c r="N21" s="167">
        <f>ROUND(VLOOKUP($E21,'BDEW-Standard'!$B$3:$M$158,N$9,0),7)</f>
        <v>0</v>
      </c>
      <c r="O21" s="167">
        <f>ROUND(VLOOKUP($E21,'BDEW-Standard'!$B$3:$M$158,O$9,0),7)</f>
        <v>0</v>
      </c>
      <c r="P21" s="167">
        <f>ROUND(VLOOKUP($E21,'BDEW-Standard'!$B$3:$M$158,P$9,0),7)</f>
        <v>0</v>
      </c>
      <c r="Q21" s="213">
        <f t="shared" si="0"/>
        <v>0.58254597027316624</v>
      </c>
      <c r="R21" s="168">
        <f>ROUND(VLOOKUP(MID($E21,4,3),'Wochentag F(WT)'!$B$7:$J$22,R$9,0),4)</f>
        <v>1.0214000000000001</v>
      </c>
      <c r="S21" s="168">
        <f>ROUND(VLOOKUP(MID($E21,4,3),'Wochentag F(WT)'!$B$7:$J$22,S$9,0),4)</f>
        <v>1.0866</v>
      </c>
      <c r="T21" s="168">
        <f>ROUND(VLOOKUP(MID($E21,4,3),'Wochentag F(WT)'!$B$7:$J$22,T$9,0),4)</f>
        <v>1.0720000000000001</v>
      </c>
      <c r="U21" s="168">
        <f>ROUND(VLOOKUP(MID($E21,4,3),'Wochentag F(WT)'!$B$7:$J$22,U$9,0),4)</f>
        <v>1.0557000000000001</v>
      </c>
      <c r="V21" s="168">
        <f>ROUND(VLOOKUP(MID($E21,4,3),'Wochentag F(WT)'!$B$7:$J$22,V$9,0),4)</f>
        <v>1.0117</v>
      </c>
      <c r="W21" s="168">
        <f>ROUND(VLOOKUP(MID($E21,4,3),'Wochentag F(WT)'!$B$7:$J$22,W$9,0),4)</f>
        <v>0.90010000000000001</v>
      </c>
      <c r="X21" s="169">
        <f t="shared" si="1"/>
        <v>0.85249999999999915</v>
      </c>
      <c r="Y21" s="302">
        <v>365.12299999999999</v>
      </c>
      <c r="Z21" s="212"/>
    </row>
    <row r="22" spans="2:26" s="143" customFormat="1" ht="15.75" thickBot="1">
      <c r="B22" s="144">
        <v>11</v>
      </c>
      <c r="C22" s="145" t="str">
        <f t="shared" si="2"/>
        <v>Schwentinental</v>
      </c>
      <c r="D22" s="62" t="s">
        <v>248</v>
      </c>
      <c r="E22" s="166" t="s">
        <v>668</v>
      </c>
      <c r="F22" s="341" t="str">
        <f>VLOOKUP($E22,'BDEW-Standard'!$B$3:$M$158,F$9,0)</f>
        <v>BD5</v>
      </c>
      <c r="H22" s="167">
        <f>ROUND(VLOOKUP($E22,'BDEW-Standard'!$B$3:$M$158,H$9,0),7)</f>
        <v>4.5699506000000003</v>
      </c>
      <c r="I22" s="167">
        <f>ROUND(VLOOKUP($E22,'BDEW-Standard'!$B$3:$M$158,I$9,0),7)</f>
        <v>-38.535339200000003</v>
      </c>
      <c r="J22" s="167">
        <f>ROUND(VLOOKUP($E22,'BDEW-Standard'!$B$3:$M$158,J$9,0),7)</f>
        <v>7.5976990999999998</v>
      </c>
      <c r="K22" s="167">
        <f>ROUND(VLOOKUP($E22,'BDEW-Standard'!$B$3:$M$158,K$9,0),7)</f>
        <v>6.6314E-3</v>
      </c>
      <c r="L22" s="214">
        <f>ROUND(VLOOKUP($E22,'BDEW-Standard'!$B$3:$M$158,L$9,0),1)</f>
        <v>40</v>
      </c>
      <c r="M22" s="167">
        <f>ROUND(VLOOKUP($E22,'BDEW-Standard'!$B$3:$M$158,M$9,0),7)</f>
        <v>0</v>
      </c>
      <c r="N22" s="167">
        <f>ROUND(VLOOKUP($E22,'BDEW-Standard'!$B$3:$M$158,N$9,0),7)</f>
        <v>0</v>
      </c>
      <c r="O22" s="167">
        <f>ROUND(VLOOKUP($E22,'BDEW-Standard'!$B$3:$M$158,O$9,0),7)</f>
        <v>0</v>
      </c>
      <c r="P22" s="167">
        <f>ROUND(VLOOKUP($E22,'BDEW-Standard'!$B$3:$M$158,P$9,0),7)</f>
        <v>0</v>
      </c>
      <c r="Q22" s="213">
        <f t="shared" si="0"/>
        <v>0.90200299693660235</v>
      </c>
      <c r="R22" s="168">
        <f>ROUND(VLOOKUP(MID($E22,4,3),'Wochentag F(WT)'!$B$7:$J$22,R$9,0),4)</f>
        <v>1.1052</v>
      </c>
      <c r="S22" s="168">
        <f>ROUND(VLOOKUP(MID($E22,4,3),'Wochentag F(WT)'!$B$7:$J$22,S$9,0),4)</f>
        <v>1.0857000000000001</v>
      </c>
      <c r="T22" s="168">
        <f>ROUND(VLOOKUP(MID($E22,4,3),'Wochentag F(WT)'!$B$7:$J$22,T$9,0),4)</f>
        <v>1.0378000000000001</v>
      </c>
      <c r="U22" s="168">
        <f>ROUND(VLOOKUP(MID($E22,4,3),'Wochentag F(WT)'!$B$7:$J$22,U$9,0),4)</f>
        <v>1.0622</v>
      </c>
      <c r="V22" s="168">
        <f>ROUND(VLOOKUP(MID($E22,4,3),'Wochentag F(WT)'!$B$7:$J$22,V$9,0),4)</f>
        <v>1.0266</v>
      </c>
      <c r="W22" s="168">
        <f>ROUND(VLOOKUP(MID($E22,4,3),'Wochentag F(WT)'!$B$7:$J$22,W$9,0),4)</f>
        <v>0.76290000000000002</v>
      </c>
      <c r="X22" s="169">
        <f t="shared" si="1"/>
        <v>0.91959999999999997</v>
      </c>
      <c r="Y22" s="302">
        <v>365.12299999999999</v>
      </c>
      <c r="Z22" s="212"/>
    </row>
    <row r="23" spans="2:26" s="143" customFormat="1">
      <c r="B23" s="144">
        <v>12</v>
      </c>
      <c r="C23" s="145" t="str">
        <f t="shared" si="2"/>
        <v>Schwentinental</v>
      </c>
      <c r="D23" s="62"/>
      <c r="E23" s="165"/>
      <c r="F23" s="306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2"/>
        <v>Schwentinental</v>
      </c>
      <c r="D24" s="62"/>
      <c r="E24" s="165"/>
      <c r="F24" s="306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2"/>
        <v>Schwentinental</v>
      </c>
      <c r="D25" s="62"/>
      <c r="E25" s="165"/>
      <c r="F25" s="306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2"/>
        <v>Schwentinental</v>
      </c>
      <c r="D26" s="62"/>
      <c r="E26" s="165"/>
      <c r="F26" s="306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2"/>
        <v>Schwentinental</v>
      </c>
      <c r="D27" s="62"/>
      <c r="E27" s="166"/>
      <c r="F27" s="306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2"/>
        <v>Schwentinental</v>
      </c>
      <c r="D28" s="62"/>
      <c r="E28" s="166"/>
      <c r="F28" s="306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2"/>
        <v>Schwentinental</v>
      </c>
      <c r="D29" s="62"/>
      <c r="E29" s="166"/>
      <c r="F29" s="306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2"/>
        <v>Schwentinental</v>
      </c>
      <c r="D30" s="62"/>
      <c r="E30" s="166"/>
      <c r="F30" s="306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2"/>
        <v>Schwentinental</v>
      </c>
      <c r="D31" s="62"/>
      <c r="E31" s="166"/>
      <c r="F31" s="306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2"/>
        <v>Schwentinental</v>
      </c>
      <c r="D32" s="62"/>
      <c r="E32" s="166"/>
      <c r="F32" s="306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2"/>
        <v>Schwentinental</v>
      </c>
      <c r="D33" s="62"/>
      <c r="E33" s="166"/>
      <c r="F33" s="306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2"/>
        <v>Schwentinental</v>
      </c>
      <c r="D34" s="62"/>
      <c r="E34" s="166"/>
      <c r="F34" s="306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2"/>
        <v>Schwentinental</v>
      </c>
      <c r="D35" s="62"/>
      <c r="E35" s="166"/>
      <c r="F35" s="306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2"/>
        <v>Schwentinental</v>
      </c>
      <c r="D36" s="62"/>
      <c r="E36" s="166"/>
      <c r="F36" s="306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2"/>
        <v>Schwentinental</v>
      </c>
      <c r="D37" s="62"/>
      <c r="E37" s="166"/>
      <c r="F37" s="306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2"/>
        <v>Schwentinental</v>
      </c>
      <c r="D38" s="62"/>
      <c r="E38" s="166"/>
      <c r="F38" s="306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2"/>
        <v>Schwentinental</v>
      </c>
      <c r="D39" s="62"/>
      <c r="E39" s="166"/>
      <c r="F39" s="306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2"/>
        <v>Schwentinental</v>
      </c>
      <c r="D40" s="62"/>
      <c r="E40" s="166"/>
      <c r="F40" s="306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2"/>
        <v>Schwentinental</v>
      </c>
      <c r="D41" s="62"/>
      <c r="E41" s="166"/>
      <c r="F41" s="306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ortState ref="F12:F21">
    <sortCondition ref="F11"/>
  </sortState>
  <conditionalFormatting sqref="H11:Y41 F11:F41">
    <cfRule type="expression" dxfId="8" priority="10">
      <formula>ISERROR(F11)</formula>
    </cfRule>
  </conditionalFormatting>
  <conditionalFormatting sqref="E13:E41 Y12:Y41 F12:F41">
    <cfRule type="duplicateValues" dxfId="7" priority="32"/>
  </conditionalFormatting>
  <conditionalFormatting sqref="E12">
    <cfRule type="duplicateValues" dxfId="6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17" zoomScale="80" zoomScaleNormal="80" workbookViewId="0">
      <selection activeCell="A142" sqref="A142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349</v>
      </c>
      <c r="B1" s="216">
        <v>42173</v>
      </c>
      <c r="D1" s="131" t="s">
        <v>458</v>
      </c>
      <c r="F1" s="217" t="s">
        <v>551</v>
      </c>
      <c r="N1" s="218"/>
    </row>
    <row r="2" spans="1:14" ht="25.5">
      <c r="A2" s="219" t="s">
        <v>272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245</v>
      </c>
      <c r="B95" s="128" t="s">
        <v>50</v>
      </c>
      <c r="C95" s="128" t="s">
        <v>318</v>
      </c>
      <c r="D95" s="235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323</v>
      </c>
      <c r="D96" s="235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328</v>
      </c>
      <c r="D97" s="235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333</v>
      </c>
      <c r="D98" s="235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286</v>
      </c>
      <c r="D99" s="235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290</v>
      </c>
      <c r="D100" s="235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294</v>
      </c>
      <c r="D101" s="235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298</v>
      </c>
      <c r="D102" s="235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302</v>
      </c>
      <c r="D103" s="235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306</v>
      </c>
      <c r="D104" s="235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310</v>
      </c>
      <c r="D105" s="235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314</v>
      </c>
      <c r="D106" s="235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319</v>
      </c>
      <c r="D107" s="235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324</v>
      </c>
      <c r="D108" s="235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329</v>
      </c>
      <c r="D109" s="235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334</v>
      </c>
      <c r="D110" s="235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274</v>
      </c>
      <c r="D111" s="235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275</v>
      </c>
      <c r="D112" s="235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276</v>
      </c>
      <c r="D113" s="235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277</v>
      </c>
      <c r="D114" s="235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287</v>
      </c>
      <c r="D115" s="235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291</v>
      </c>
      <c r="D116" s="235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295</v>
      </c>
      <c r="D117" s="235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299</v>
      </c>
      <c r="D118" s="235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278</v>
      </c>
      <c r="D119" s="235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280</v>
      </c>
      <c r="D120" s="235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282</v>
      </c>
      <c r="D121" s="235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284</v>
      </c>
      <c r="D122" s="235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320</v>
      </c>
      <c r="D123" s="235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325</v>
      </c>
      <c r="D124" s="235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330</v>
      </c>
      <c r="D125" s="235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335</v>
      </c>
      <c r="D126" s="235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288</v>
      </c>
      <c r="D127" s="235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292</v>
      </c>
      <c r="D128" s="235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296</v>
      </c>
      <c r="D129" s="235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300</v>
      </c>
      <c r="D130" s="235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289</v>
      </c>
      <c r="D131" s="235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293</v>
      </c>
      <c r="D132" s="235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297</v>
      </c>
      <c r="D133" s="235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301</v>
      </c>
      <c r="D134" s="235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303</v>
      </c>
      <c r="D135" s="235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307</v>
      </c>
      <c r="D136" s="235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311</v>
      </c>
      <c r="D137" s="235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315</v>
      </c>
      <c r="D138" s="235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304</v>
      </c>
      <c r="D139" s="235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308</v>
      </c>
      <c r="D140" s="235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312</v>
      </c>
      <c r="D141" s="235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316</v>
      </c>
      <c r="D142" s="235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279</v>
      </c>
      <c r="D143" s="235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281</v>
      </c>
      <c r="D144" s="235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283</v>
      </c>
      <c r="D145" s="235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285</v>
      </c>
      <c r="D146" s="235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305</v>
      </c>
      <c r="D147" s="235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309</v>
      </c>
      <c r="D148" s="235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313</v>
      </c>
      <c r="D149" s="235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317</v>
      </c>
      <c r="D150" s="235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321</v>
      </c>
      <c r="D151" s="235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326</v>
      </c>
      <c r="D152" s="235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331</v>
      </c>
      <c r="D153" s="235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336</v>
      </c>
      <c r="D154" s="235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322</v>
      </c>
      <c r="D155" s="235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327</v>
      </c>
      <c r="D156" s="235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332</v>
      </c>
      <c r="D157" s="235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337</v>
      </c>
      <c r="D158" s="235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W11" sqref="W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Schwentinental GmbH</v>
      </c>
      <c r="D4" s="76"/>
      <c r="G4" s="76"/>
      <c r="I4" s="76"/>
      <c r="J4" s="77"/>
      <c r="M4" s="86" t="s">
        <v>545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Netzbetreiber!D28</f>
        <v>Schwentinental</v>
      </c>
      <c r="D5" s="37"/>
      <c r="E5" s="76"/>
      <c r="F5" s="76"/>
      <c r="G5" s="76"/>
      <c r="I5" s="76"/>
      <c r="J5" s="76"/>
      <c r="K5" s="76"/>
      <c r="L5" s="76"/>
      <c r="M5" s="88" t="s">
        <v>514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9870115000000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462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374</v>
      </c>
      <c r="O9" s="92" t="s">
        <v>375</v>
      </c>
      <c r="P9" s="92" t="s">
        <v>376</v>
      </c>
      <c r="Q9" s="92" t="s">
        <v>377</v>
      </c>
      <c r="R9" s="92" t="s">
        <v>378</v>
      </c>
      <c r="S9" s="92" t="s">
        <v>379</v>
      </c>
      <c r="T9" s="92" t="s">
        <v>380</v>
      </c>
      <c r="U9" s="92" t="s">
        <v>381</v>
      </c>
      <c r="V9" s="92" t="s">
        <v>382</v>
      </c>
      <c r="W9" s="92" t="s">
        <v>383</v>
      </c>
      <c r="X9" s="92" t="s">
        <v>384</v>
      </c>
      <c r="Y9" s="92" t="s">
        <v>385</v>
      </c>
      <c r="Z9" s="92" t="s">
        <v>386</v>
      </c>
      <c r="AA9" s="92" t="s">
        <v>387</v>
      </c>
      <c r="AB9" s="92" t="s">
        <v>388</v>
      </c>
      <c r="AC9" s="93" t="s">
        <v>389</v>
      </c>
      <c r="AD9" s="93" t="s">
        <v>431</v>
      </c>
    </row>
    <row r="10" spans="2:30" ht="72" customHeight="1" thickBot="1">
      <c r="B10" s="350" t="s">
        <v>589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400</v>
      </c>
      <c r="G10" s="348"/>
      <c r="H10" s="348"/>
      <c r="I10" s="348"/>
      <c r="J10" s="348"/>
      <c r="K10" s="348"/>
      <c r="L10" s="349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432</v>
      </c>
    </row>
    <row r="11" spans="2:30" ht="15.75" thickBot="1">
      <c r="B11" s="102" t="s">
        <v>423</v>
      </c>
      <c r="C11" s="103"/>
      <c r="D11" s="104">
        <v>3</v>
      </c>
      <c r="E11" s="105"/>
      <c r="F11" s="106" t="s">
        <v>391</v>
      </c>
      <c r="G11" s="107" t="s">
        <v>392</v>
      </c>
      <c r="H11" s="107" t="s">
        <v>393</v>
      </c>
      <c r="I11" s="107" t="s">
        <v>394</v>
      </c>
      <c r="J11" s="107" t="s">
        <v>395</v>
      </c>
      <c r="K11" s="107" t="s">
        <v>396</v>
      </c>
      <c r="L11" s="108" t="s">
        <v>397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401</v>
      </c>
      <c r="C12" s="110"/>
      <c r="D12" s="111">
        <v>4</v>
      </c>
      <c r="E12" s="313">
        <f>MIN(SUMPRODUCT($M$11:$AD$11,M12:AD12),1)</f>
        <v>1</v>
      </c>
      <c r="F12" s="310" t="s">
        <v>397</v>
      </c>
      <c r="G12" s="78" t="s">
        <v>397</v>
      </c>
      <c r="H12" s="78" t="s">
        <v>397</v>
      </c>
      <c r="I12" s="78" t="s">
        <v>397</v>
      </c>
      <c r="J12" s="78" t="s">
        <v>397</v>
      </c>
      <c r="K12" s="78" t="s">
        <v>397</v>
      </c>
      <c r="L12" s="79" t="s">
        <v>397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402</v>
      </c>
      <c r="C13" s="117"/>
      <c r="D13" s="111">
        <v>5</v>
      </c>
      <c r="E13" s="314">
        <f t="shared" ref="E13:E33" si="0">MIN(SUMPRODUCT($M$11:$AD$11,M13:AD13),1)</f>
        <v>0</v>
      </c>
      <c r="F13" s="311" t="s">
        <v>397</v>
      </c>
      <c r="G13" s="80" t="s">
        <v>397</v>
      </c>
      <c r="H13" s="80" t="s">
        <v>397</v>
      </c>
      <c r="I13" s="80" t="s">
        <v>397</v>
      </c>
      <c r="J13" s="80" t="s">
        <v>397</v>
      </c>
      <c r="K13" s="80" t="s">
        <v>397</v>
      </c>
      <c r="L13" s="81" t="s">
        <v>397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403</v>
      </c>
      <c r="C14" s="117"/>
      <c r="D14" s="111">
        <v>6</v>
      </c>
      <c r="E14" s="314">
        <f t="shared" si="0"/>
        <v>0</v>
      </c>
      <c r="F14" s="311" t="s">
        <v>397</v>
      </c>
      <c r="G14" s="80" t="s">
        <v>404</v>
      </c>
      <c r="H14" s="80" t="s">
        <v>404</v>
      </c>
      <c r="I14" s="80" t="s">
        <v>404</v>
      </c>
      <c r="J14" s="80" t="s">
        <v>404</v>
      </c>
      <c r="K14" s="80" t="s">
        <v>404</v>
      </c>
      <c r="L14" s="81" t="s">
        <v>404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405</v>
      </c>
      <c r="C15" s="117"/>
      <c r="D15" s="111">
        <v>7</v>
      </c>
      <c r="E15" s="314">
        <f t="shared" si="0"/>
        <v>0</v>
      </c>
      <c r="F15" s="311" t="s">
        <v>404</v>
      </c>
      <c r="G15" s="80" t="s">
        <v>396</v>
      </c>
      <c r="H15" s="80" t="s">
        <v>404</v>
      </c>
      <c r="I15" s="80" t="s">
        <v>404</v>
      </c>
      <c r="J15" s="80" t="s">
        <v>404</v>
      </c>
      <c r="K15" s="80" t="s">
        <v>404</v>
      </c>
      <c r="L15" s="81" t="s">
        <v>404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417</v>
      </c>
      <c r="C16" s="117"/>
      <c r="D16" s="111">
        <v>8</v>
      </c>
      <c r="E16" s="314">
        <f t="shared" si="0"/>
        <v>1</v>
      </c>
      <c r="F16" s="311" t="s">
        <v>404</v>
      </c>
      <c r="G16" s="80" t="s">
        <v>404</v>
      </c>
      <c r="H16" s="80" t="s">
        <v>404</v>
      </c>
      <c r="I16" s="80" t="s">
        <v>404</v>
      </c>
      <c r="J16" s="80" t="s">
        <v>397</v>
      </c>
      <c r="K16" s="80" t="s">
        <v>404</v>
      </c>
      <c r="L16" s="81" t="s">
        <v>404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418</v>
      </c>
      <c r="C17" s="117"/>
      <c r="D17" s="111">
        <v>9</v>
      </c>
      <c r="E17" s="314">
        <f t="shared" si="0"/>
        <v>1</v>
      </c>
      <c r="F17" s="311" t="s">
        <v>404</v>
      </c>
      <c r="G17" s="80" t="s">
        <v>404</v>
      </c>
      <c r="H17" s="80" t="s">
        <v>404</v>
      </c>
      <c r="I17" s="80" t="s">
        <v>404</v>
      </c>
      <c r="J17" s="80" t="s">
        <v>404</v>
      </c>
      <c r="K17" s="80" t="s">
        <v>404</v>
      </c>
      <c r="L17" s="81" t="s">
        <v>397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419</v>
      </c>
      <c r="C18" s="117"/>
      <c r="D18" s="111">
        <v>10</v>
      </c>
      <c r="E18" s="314">
        <f t="shared" si="0"/>
        <v>1</v>
      </c>
      <c r="F18" s="311" t="s">
        <v>397</v>
      </c>
      <c r="G18" s="80" t="s">
        <v>404</v>
      </c>
      <c r="H18" s="80" t="s">
        <v>404</v>
      </c>
      <c r="I18" s="80" t="s">
        <v>404</v>
      </c>
      <c r="J18" s="80" t="s">
        <v>404</v>
      </c>
      <c r="K18" s="80" t="s">
        <v>404</v>
      </c>
      <c r="L18" s="81" t="s">
        <v>404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406</v>
      </c>
      <c r="C19" s="117"/>
      <c r="D19" s="111">
        <v>11</v>
      </c>
      <c r="E19" s="314">
        <f t="shared" si="0"/>
        <v>1</v>
      </c>
      <c r="F19" s="311" t="s">
        <v>397</v>
      </c>
      <c r="G19" s="80" t="s">
        <v>397</v>
      </c>
      <c r="H19" s="80" t="s">
        <v>397</v>
      </c>
      <c r="I19" s="80" t="s">
        <v>397</v>
      </c>
      <c r="J19" s="80" t="s">
        <v>397</v>
      </c>
      <c r="K19" s="80" t="s">
        <v>397</v>
      </c>
      <c r="L19" s="81" t="s">
        <v>397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655</v>
      </c>
      <c r="C20" s="117"/>
      <c r="D20" s="111">
        <v>12</v>
      </c>
      <c r="E20" s="314">
        <f t="shared" si="0"/>
        <v>1</v>
      </c>
      <c r="F20" s="311" t="s">
        <v>404</v>
      </c>
      <c r="G20" s="80" t="s">
        <v>404</v>
      </c>
      <c r="H20" s="80" t="s">
        <v>404</v>
      </c>
      <c r="I20" s="80" t="s">
        <v>397</v>
      </c>
      <c r="J20" s="80" t="s">
        <v>404</v>
      </c>
      <c r="K20" s="80" t="s">
        <v>404</v>
      </c>
      <c r="L20" s="81" t="s">
        <v>404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420</v>
      </c>
      <c r="C21" s="117"/>
      <c r="D21" s="111">
        <v>13</v>
      </c>
      <c r="E21" s="314">
        <f t="shared" si="0"/>
        <v>1</v>
      </c>
      <c r="F21" s="311" t="s">
        <v>404</v>
      </c>
      <c r="G21" s="80" t="s">
        <v>404</v>
      </c>
      <c r="H21" s="80" t="s">
        <v>404</v>
      </c>
      <c r="I21" s="80" t="s">
        <v>404</v>
      </c>
      <c r="J21" s="80" t="s">
        <v>404</v>
      </c>
      <c r="K21" s="80" t="s">
        <v>404</v>
      </c>
      <c r="L21" s="81" t="s">
        <v>397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421</v>
      </c>
      <c r="C22" s="117"/>
      <c r="D22" s="111">
        <v>14</v>
      </c>
      <c r="E22" s="314">
        <f t="shared" si="0"/>
        <v>1</v>
      </c>
      <c r="F22" s="311" t="s">
        <v>397</v>
      </c>
      <c r="G22" s="80" t="s">
        <v>404</v>
      </c>
      <c r="H22" s="80" t="s">
        <v>404</v>
      </c>
      <c r="I22" s="80" t="s">
        <v>404</v>
      </c>
      <c r="J22" s="80" t="s">
        <v>404</v>
      </c>
      <c r="K22" s="80" t="s">
        <v>404</v>
      </c>
      <c r="L22" s="81" t="s">
        <v>404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422</v>
      </c>
      <c r="C23" s="117"/>
      <c r="D23" s="111">
        <v>15</v>
      </c>
      <c r="E23" s="314">
        <f t="shared" si="0"/>
        <v>0</v>
      </c>
      <c r="F23" s="311" t="s">
        <v>404</v>
      </c>
      <c r="G23" s="80" t="s">
        <v>404</v>
      </c>
      <c r="H23" s="80" t="s">
        <v>404</v>
      </c>
      <c r="I23" s="80" t="s">
        <v>397</v>
      </c>
      <c r="J23" s="80" t="s">
        <v>404</v>
      </c>
      <c r="K23" s="80" t="s">
        <v>404</v>
      </c>
      <c r="L23" s="81" t="s">
        <v>404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407</v>
      </c>
      <c r="C24" s="117"/>
      <c r="D24" s="111">
        <v>16</v>
      </c>
      <c r="E24" s="314">
        <f t="shared" si="0"/>
        <v>0</v>
      </c>
      <c r="F24" s="311" t="s">
        <v>397</v>
      </c>
      <c r="G24" s="80" t="s">
        <v>397</v>
      </c>
      <c r="H24" s="80" t="s">
        <v>397</v>
      </c>
      <c r="I24" s="80" t="s">
        <v>397</v>
      </c>
      <c r="J24" s="80" t="s">
        <v>397</v>
      </c>
      <c r="K24" s="80" t="s">
        <v>397</v>
      </c>
      <c r="L24" s="81" t="s">
        <v>397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408</v>
      </c>
      <c r="C25" s="117"/>
      <c r="D25" s="111">
        <v>17</v>
      </c>
      <c r="E25" s="314">
        <f t="shared" si="0"/>
        <v>0</v>
      </c>
      <c r="F25" s="311" t="s">
        <v>397</v>
      </c>
      <c r="G25" s="80" t="s">
        <v>397</v>
      </c>
      <c r="H25" s="80" t="s">
        <v>397</v>
      </c>
      <c r="I25" s="80" t="s">
        <v>397</v>
      </c>
      <c r="J25" s="80" t="s">
        <v>397</v>
      </c>
      <c r="K25" s="80" t="s">
        <v>397</v>
      </c>
      <c r="L25" s="81" t="s">
        <v>397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409</v>
      </c>
      <c r="C26" s="117"/>
      <c r="D26" s="111">
        <v>18</v>
      </c>
      <c r="E26" s="314">
        <f t="shared" si="0"/>
        <v>1</v>
      </c>
      <c r="F26" s="311" t="s">
        <v>397</v>
      </c>
      <c r="G26" s="80" t="s">
        <v>397</v>
      </c>
      <c r="H26" s="80" t="s">
        <v>397</v>
      </c>
      <c r="I26" s="80" t="s">
        <v>397</v>
      </c>
      <c r="J26" s="80" t="s">
        <v>397</v>
      </c>
      <c r="K26" s="80" t="s">
        <v>397</v>
      </c>
      <c r="L26" s="81" t="s">
        <v>397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410</v>
      </c>
      <c r="C27" s="117"/>
      <c r="D27" s="111">
        <v>19</v>
      </c>
      <c r="E27" s="314">
        <f t="shared" si="0"/>
        <v>0</v>
      </c>
      <c r="F27" s="311" t="s">
        <v>397</v>
      </c>
      <c r="G27" s="80" t="s">
        <v>397</v>
      </c>
      <c r="H27" s="80" t="s">
        <v>397</v>
      </c>
      <c r="I27" s="80" t="s">
        <v>397</v>
      </c>
      <c r="J27" s="80" t="s">
        <v>397</v>
      </c>
      <c r="K27" s="80" t="s">
        <v>397</v>
      </c>
      <c r="L27" s="81" t="s">
        <v>397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411</v>
      </c>
      <c r="C28" s="117"/>
      <c r="D28" s="111">
        <v>20</v>
      </c>
      <c r="E28" s="314">
        <f t="shared" si="0"/>
        <v>0</v>
      </c>
      <c r="F28" s="311" t="s">
        <v>397</v>
      </c>
      <c r="G28" s="80" t="s">
        <v>397</v>
      </c>
      <c r="H28" s="80" t="s">
        <v>397</v>
      </c>
      <c r="I28" s="80" t="s">
        <v>397</v>
      </c>
      <c r="J28" s="80" t="s">
        <v>397</v>
      </c>
      <c r="K28" s="80" t="s">
        <v>397</v>
      </c>
      <c r="L28" s="81" t="s">
        <v>397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412</v>
      </c>
      <c r="C29" s="117"/>
      <c r="D29" s="111">
        <v>21</v>
      </c>
      <c r="E29" s="314">
        <f t="shared" si="0"/>
        <v>0</v>
      </c>
      <c r="F29" s="311" t="s">
        <v>404</v>
      </c>
      <c r="G29" s="80" t="s">
        <v>404</v>
      </c>
      <c r="H29" s="80" t="s">
        <v>397</v>
      </c>
      <c r="I29" s="80" t="s">
        <v>404</v>
      </c>
      <c r="J29" s="80" t="s">
        <v>404</v>
      </c>
      <c r="K29" s="80" t="s">
        <v>404</v>
      </c>
      <c r="L29" s="81" t="s">
        <v>404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413</v>
      </c>
      <c r="C30" s="117"/>
      <c r="D30" s="111">
        <v>22</v>
      </c>
      <c r="E30" s="314">
        <f t="shared" si="0"/>
        <v>0</v>
      </c>
      <c r="F30" s="311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397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414</v>
      </c>
      <c r="C31" s="117"/>
      <c r="D31" s="111">
        <v>23</v>
      </c>
      <c r="E31" s="314">
        <f t="shared" si="0"/>
        <v>1</v>
      </c>
      <c r="F31" s="311" t="s">
        <v>397</v>
      </c>
      <c r="G31" s="80" t="s">
        <v>397</v>
      </c>
      <c r="H31" s="80" t="s">
        <v>397</v>
      </c>
      <c r="I31" s="80" t="s">
        <v>397</v>
      </c>
      <c r="J31" s="80" t="s">
        <v>397</v>
      </c>
      <c r="K31" s="80" t="s">
        <v>397</v>
      </c>
      <c r="L31" s="81" t="s">
        <v>397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415</v>
      </c>
      <c r="C32" s="117"/>
      <c r="D32" s="111">
        <v>24</v>
      </c>
      <c r="E32" s="314">
        <f t="shared" si="0"/>
        <v>1</v>
      </c>
      <c r="F32" s="311" t="s">
        <v>397</v>
      </c>
      <c r="G32" s="80" t="s">
        <v>397</v>
      </c>
      <c r="H32" s="80" t="s">
        <v>397</v>
      </c>
      <c r="I32" s="80" t="s">
        <v>397</v>
      </c>
      <c r="J32" s="80" t="s">
        <v>397</v>
      </c>
      <c r="K32" s="80" t="s">
        <v>397</v>
      </c>
      <c r="L32" s="81" t="s">
        <v>397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416</v>
      </c>
      <c r="C33" s="123"/>
      <c r="D33" s="124">
        <v>25</v>
      </c>
      <c r="E33" s="315">
        <f t="shared" si="0"/>
        <v>0</v>
      </c>
      <c r="F33" s="312" t="s">
        <v>396</v>
      </c>
      <c r="G33" s="82" t="s">
        <v>396</v>
      </c>
      <c r="H33" s="82" t="s">
        <v>396</v>
      </c>
      <c r="I33" s="82" t="s">
        <v>396</v>
      </c>
      <c r="J33" s="82" t="s">
        <v>396</v>
      </c>
      <c r="K33" s="82" t="s">
        <v>396</v>
      </c>
      <c r="L33" s="83" t="s">
        <v>397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459</v>
      </c>
      <c r="B1" s="128"/>
      <c r="D1" s="217" t="s">
        <v>551</v>
      </c>
    </row>
    <row r="2" spans="1:16">
      <c r="A2" s="237"/>
      <c r="B2" s="236" t="s">
        <v>460</v>
      </c>
    </row>
    <row r="3" spans="1:16" ht="20.100000000000001" customHeight="1">
      <c r="A3" s="352" t="s">
        <v>249</v>
      </c>
      <c r="B3" s="238" t="s">
        <v>86</v>
      </c>
      <c r="C3" s="239"/>
      <c r="D3" s="354" t="s">
        <v>461</v>
      </c>
      <c r="E3" s="355"/>
      <c r="F3" s="355"/>
      <c r="G3" s="355"/>
      <c r="H3" s="355"/>
      <c r="I3" s="355"/>
      <c r="J3" s="356"/>
      <c r="K3" s="240"/>
      <c r="L3" s="240"/>
      <c r="M3" s="240"/>
      <c r="N3" s="240"/>
      <c r="O3" s="241"/>
      <c r="P3" s="240"/>
    </row>
    <row r="4" spans="1:16" ht="20.100000000000001" customHeight="1">
      <c r="A4" s="353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370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370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Astrid Geest</cp:lastModifiedBy>
  <cp:lastPrinted>2015-07-09T07:20:31Z</cp:lastPrinted>
  <dcterms:created xsi:type="dcterms:W3CDTF">2015-01-15T05:25:41Z</dcterms:created>
  <dcterms:modified xsi:type="dcterms:W3CDTF">2020-08-27T06:06:19Z</dcterms:modified>
</cp:coreProperties>
</file>